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lberto - Parte 1\Impuestos\Ejercicios\Renta 2024\"/>
    </mc:Choice>
  </mc:AlternateContent>
  <xr:revisionPtr revIDLastSave="0" documentId="13_ncr:1_{E255669E-D880-49D6-A103-ADA67FF1844F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ANEXOS" sheetId="25" r:id="rId1"/>
    <sheet name="1. PATRIM FISCAL" sheetId="1" r:id="rId2"/>
    <sheet name="CONCIPATRIM" sheetId="22" r:id="rId3"/>
    <sheet name="2. RENTA FISCAL" sheetId="2" r:id="rId4"/>
    <sheet name="CONCIRENTA" sheetId="20" r:id="rId5"/>
    <sheet name="3. VR A PAGAR" sheetId="48" r:id="rId6"/>
    <sheet name="4. CDT - CxC" sheetId="46" r:id="rId7"/>
    <sheet name="6. INVERSIONES" sheetId="17" r:id="rId8"/>
    <sheet name="7. PPyE" sheetId="19" r:id="rId9"/>
    <sheet name="8. DEPRECIACIÓN" sheetId="4" r:id="rId10"/>
    <sheet name="9. VTA ACT FIJOS" sheetId="37" r:id="rId11"/>
    <sheet name="10. INGRESOS" sheetId="9" r:id="rId12"/>
    <sheet name="13. LABORALES - INTS" sheetId="38" r:id="rId13"/>
    <sheet name="15. EFECTIVO - EXT" sheetId="30" r:id="rId14"/>
    <sheet name="17. TTD - ANTICIPO" sheetId="5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NEXOS" localSheetId="12">#REF!</definedName>
    <definedName name="ANEXOS" localSheetId="14">#REF!</definedName>
    <definedName name="ANEXOS" localSheetId="5">#REF!</definedName>
    <definedName name="ANEXOS" localSheetId="6">#REF!</definedName>
    <definedName name="ANEXOS">#REF!</definedName>
    <definedName name="ANEXOS4" localSheetId="12">#REF!</definedName>
    <definedName name="ANEXOS4" localSheetId="5">#REF!</definedName>
    <definedName name="ANEXOS4" localSheetId="6">#REF!</definedName>
    <definedName name="ANEXOS4">#REF!</definedName>
    <definedName name="anticipanteriorA">'[1]1A- DATOS INICIALES'!$C$75</definedName>
    <definedName name="anticipoC">'[1]4 CÁLCULOS PRESUNT-ANTICIP.'!$D$45</definedName>
    <definedName name="_xlnm.Print_Area" localSheetId="1">'1. PATRIM FISCAL'!$A$1:$I$78</definedName>
    <definedName name="_xlnm.Print_Area" localSheetId="13">'15. EFECTIVO - EXT'!$A$1:$H$66</definedName>
    <definedName name="_xlnm.Print_Area" localSheetId="3">'2. RENTA FISCAL'!$A$1:$K$141</definedName>
    <definedName name="_xlnm.Print_Area" localSheetId="5">'3. VR A PAGAR'!$A$1:$H$60</definedName>
    <definedName name="_xlnm.Print_Area" localSheetId="8">'7. PPyE'!$A$1:$L$41</definedName>
    <definedName name="_xlnm.Print_Area" localSheetId="0">ANEXOS!#REF!</definedName>
    <definedName name="_xlnm.Print_Area" localSheetId="2">CONCIPATRIM!#REF!</definedName>
    <definedName name="_xlnm.Print_Area" localSheetId="4">CONCIRENTA!$B$1:$G$71</definedName>
    <definedName name="BALANCE1" localSheetId="12">#REF!</definedName>
    <definedName name="BALANCE1" localSheetId="14">#REF!</definedName>
    <definedName name="BALANCE1" localSheetId="5">#REF!</definedName>
    <definedName name="BALANCE1" localSheetId="6">#REF!</definedName>
    <definedName name="BALANCE1">#REF!</definedName>
    <definedName name="D" localSheetId="12">#REF!</definedName>
    <definedName name="D" localSheetId="5">#REF!</definedName>
    <definedName name="D" localSheetId="6">#REF!</definedName>
    <definedName name="D">#REF!</definedName>
    <definedName name="ESTADO" localSheetId="12">#REF!</definedName>
    <definedName name="ESTADO" localSheetId="5">#REF!</definedName>
    <definedName name="ESTADO" localSheetId="6">#REF!</definedName>
    <definedName name="ESTADO">#REF!</definedName>
    <definedName name="IMP">#REF!</definedName>
    <definedName name="ING">#REF!</definedName>
    <definedName name="pagosB">'[1]1A- DATOS INICIALES'!$E$112</definedName>
    <definedName name="pagosF">'[1]1A- DATOS INICIALES'!$E$116</definedName>
    <definedName name="PAT">#REF!</definedName>
    <definedName name="rlíquidaB" localSheetId="14">'[2]FORM RENTA'!$R$17</definedName>
    <definedName name="rlíquidaB">#REF!</definedName>
    <definedName name="RUTH" localSheetId="14">[3]FORMULARIO!$R$22</definedName>
    <definedName name="RUTH">[4]FORMULARIO!$R$22</definedName>
    <definedName name="sanciones4">'[1]1A- DATOS INICIALES'!$E$115</definedName>
    <definedName name="Tabla1">[5]Cta5105!$A$587:$G$611</definedName>
    <definedName name="Tabla2">[5]Cta5205!$A$1775:$G$1799</definedName>
    <definedName name="Tabla3">[5]Cta7305!$A$89:$G$143</definedName>
    <definedName name="Tabla4">[6]CtaContables!$A$658:$G$686</definedName>
    <definedName name="_xlnm.Print_Titles" localSheetId="3">'2. RENTA FISCAL'!$1:$9</definedName>
    <definedName name="_xlnm.Print_Titles" localSheetId="5">'3. VR A PAGAR'!$1:$9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7" l="1"/>
  <c r="C27" i="25"/>
  <c r="C28" i="25"/>
  <c r="H27" i="46"/>
  <c r="G32" i="46" s="1"/>
  <c r="H30" i="46"/>
  <c r="I30" i="46"/>
  <c r="F32" i="46"/>
  <c r="F33" i="46"/>
  <c r="I33" i="46"/>
  <c r="F34" i="46"/>
  <c r="G34" i="46"/>
  <c r="H34" i="46" s="1"/>
  <c r="I34" i="46"/>
  <c r="F35" i="46"/>
  <c r="F36" i="46"/>
  <c r="I36" i="46"/>
  <c r="F37" i="46"/>
  <c r="G37" i="46"/>
  <c r="H37" i="46"/>
  <c r="I37" i="46"/>
  <c r="F38" i="46"/>
  <c r="D41" i="46"/>
  <c r="B29" i="1"/>
  <c r="H32" i="46" l="1"/>
  <c r="G33" i="46"/>
  <c r="H33" i="46" s="1"/>
  <c r="I38" i="46"/>
  <c r="I35" i="46"/>
  <c r="I32" i="46"/>
  <c r="I41" i="46" s="1"/>
  <c r="F41" i="46"/>
  <c r="G36" i="46"/>
  <c r="H36" i="46" s="1"/>
  <c r="G38" i="46"/>
  <c r="H38" i="46" s="1"/>
  <c r="G35" i="46"/>
  <c r="H35" i="46" s="1"/>
  <c r="B21" i="2"/>
  <c r="G12" i="1"/>
  <c r="E27" i="52"/>
  <c r="E26" i="52"/>
  <c r="B34" i="2"/>
  <c r="H41" i="46" l="1"/>
  <c r="G41" i="46"/>
  <c r="I16" i="19"/>
  <c r="E81" i="2"/>
  <c r="E54" i="30"/>
  <c r="E23" i="30"/>
  <c r="B72" i="2"/>
  <c r="E79" i="38"/>
  <c r="I19" i="17"/>
  <c r="E14" i="20"/>
  <c r="D54" i="2"/>
  <c r="E44" i="20" s="1"/>
  <c r="D44" i="2"/>
  <c r="E56" i="20" s="1"/>
  <c r="B30" i="2"/>
  <c r="L41" i="17"/>
  <c r="K41" i="17"/>
  <c r="E15" i="17"/>
  <c r="F14" i="17"/>
  <c r="F15" i="17"/>
  <c r="E14" i="17"/>
  <c r="D14" i="17"/>
  <c r="D15" i="17"/>
  <c r="K40" i="17"/>
  <c r="G54" i="2" l="1"/>
  <c r="K43" i="17"/>
  <c r="L40" i="17"/>
  <c r="L43" i="17" s="1"/>
  <c r="J16" i="17" l="1"/>
  <c r="E11" i="17"/>
  <c r="I11" i="17" s="1"/>
  <c r="K11" i="17" s="1"/>
  <c r="L11" i="17" s="1"/>
  <c r="F11" i="17" l="1"/>
  <c r="G11" i="17" l="1"/>
  <c r="J8" i="17"/>
  <c r="D18" i="46"/>
  <c r="B70" i="1" l="1"/>
  <c r="E26" i="48"/>
  <c r="F9" i="30" l="1"/>
  <c r="F10" i="30"/>
  <c r="F11" i="30"/>
  <c r="F12" i="30"/>
  <c r="F13" i="30"/>
  <c r="C15" i="30"/>
  <c r="E15" i="30"/>
  <c r="G15" i="30"/>
  <c r="G25" i="30" s="1"/>
  <c r="B50" i="2"/>
  <c r="B73" i="2"/>
  <c r="D24" i="4"/>
  <c r="J24" i="4"/>
  <c r="B16" i="9"/>
  <c r="B78" i="2"/>
  <c r="B35" i="2"/>
  <c r="D35" i="2" s="1"/>
  <c r="D52" i="20" s="1"/>
  <c r="G23" i="38"/>
  <c r="D66" i="2" s="1"/>
  <c r="E32" i="1"/>
  <c r="B32" i="1"/>
  <c r="G38" i="19"/>
  <c r="F38" i="19"/>
  <c r="E38" i="19"/>
  <c r="F30" i="19"/>
  <c r="E37" i="19" s="1"/>
  <c r="F15" i="46"/>
  <c r="I15" i="46" s="1"/>
  <c r="G15" i="46"/>
  <c r="I14" i="46"/>
  <c r="G13" i="46"/>
  <c r="F13" i="46"/>
  <c r="B69" i="2"/>
  <c r="G17" i="46" l="1"/>
  <c r="I18" i="46"/>
  <c r="D16" i="1" s="1"/>
  <c r="B19" i="2"/>
  <c r="G19" i="2" s="1"/>
  <c r="H13" i="46"/>
  <c r="F25" i="30"/>
  <c r="G35" i="2"/>
  <c r="G37" i="19"/>
  <c r="F37" i="19"/>
  <c r="H15" i="46"/>
  <c r="E21" i="38"/>
  <c r="E78" i="2"/>
  <c r="I17" i="4"/>
  <c r="J17" i="4" s="1"/>
  <c r="D59" i="20"/>
  <c r="G18" i="48"/>
  <c r="G23" i="48" s="1"/>
  <c r="D20" i="2" l="1"/>
  <c r="B20" i="2"/>
  <c r="H18" i="46"/>
  <c r="G78" i="2"/>
  <c r="K17" i="4"/>
  <c r="C58" i="48" l="1"/>
  <c r="B13" i="2"/>
  <c r="G48" i="38" l="1"/>
  <c r="G25" i="38" l="1"/>
  <c r="E23" i="38"/>
  <c r="D65" i="2" l="1"/>
  <c r="E16" i="38"/>
  <c r="E25" i="38" s="1"/>
  <c r="K110" i="2"/>
  <c r="K38" i="2"/>
  <c r="K40" i="2" s="1"/>
  <c r="K45" i="2" s="1"/>
  <c r="K47" i="2" s="1"/>
  <c r="K62" i="2" s="1"/>
  <c r="I16" i="1"/>
  <c r="I24" i="1" s="1"/>
  <c r="I25" i="1" s="1"/>
  <c r="F25" i="19" l="1"/>
  <c r="E36" i="19" s="1"/>
  <c r="G36" i="19" s="1"/>
  <c r="E28" i="20"/>
  <c r="G72" i="2"/>
  <c r="C30" i="4" l="1"/>
  <c r="K30" i="19"/>
  <c r="E30" i="19"/>
  <c r="H46" i="38"/>
  <c r="I30" i="4" l="1"/>
  <c r="K30" i="4" s="1"/>
  <c r="E30" i="4"/>
  <c r="G74" i="2"/>
  <c r="B40" i="2"/>
  <c r="K25" i="19" l="1"/>
  <c r="G110" i="2" l="1"/>
  <c r="G13" i="9"/>
  <c r="I13" i="9" s="1"/>
  <c r="D17" i="9"/>
  <c r="E12" i="9"/>
  <c r="D10" i="9"/>
  <c r="G10" i="9" s="1"/>
  <c r="I10" i="9" s="1"/>
  <c r="D23" i="17"/>
  <c r="L14" i="17"/>
  <c r="E26" i="2" l="1"/>
  <c r="D16" i="20" s="1"/>
  <c r="F28" i="17"/>
  <c r="G28" i="17" s="1"/>
  <c r="G32" i="1"/>
  <c r="C21" i="48"/>
  <c r="F14" i="9"/>
  <c r="K13" i="17"/>
  <c r="K16" i="17" s="1"/>
  <c r="D28" i="22"/>
  <c r="G17" i="9"/>
  <c r="E10" i="9"/>
  <c r="E19" i="9" s="1"/>
  <c r="F13" i="17"/>
  <c r="G27" i="17"/>
  <c r="I26" i="17"/>
  <c r="F16" i="17" l="1"/>
  <c r="G14" i="17"/>
  <c r="H14" i="9"/>
  <c r="H19" i="9" s="1"/>
  <c r="B26" i="2"/>
  <c r="F22" i="52" s="1"/>
  <c r="B27" i="2"/>
  <c r="G27" i="2" s="1"/>
  <c r="I27" i="2" s="1"/>
  <c r="K98" i="2"/>
  <c r="G50" i="38"/>
  <c r="I14" i="9" l="1"/>
  <c r="I19" i="9"/>
  <c r="I30" i="19" l="1"/>
  <c r="E79" i="2" l="1"/>
  <c r="E67" i="2"/>
  <c r="E53" i="2"/>
  <c r="G53" i="2" s="1"/>
  <c r="E23" i="20" l="1"/>
  <c r="I17" i="19" l="1"/>
  <c r="E17" i="19"/>
  <c r="G30" i="19"/>
  <c r="M30" i="4"/>
  <c r="L30" i="19"/>
  <c r="D49" i="1" l="1"/>
  <c r="E48" i="1"/>
  <c r="G69" i="2"/>
  <c r="G30" i="4"/>
  <c r="J8" i="19" l="1"/>
  <c r="J25" i="19" s="1"/>
  <c r="J19" i="17"/>
  <c r="E12" i="17"/>
  <c r="E16" i="17" s="1"/>
  <c r="A3" i="1" l="1"/>
  <c r="K112" i="2" l="1"/>
  <c r="E22" i="20" l="1"/>
  <c r="D21" i="20"/>
  <c r="D18" i="22"/>
  <c r="G39" i="1"/>
  <c r="I110" i="2"/>
  <c r="D98" i="2"/>
  <c r="B98" i="2"/>
  <c r="C23" i="48"/>
  <c r="F52" i="30"/>
  <c r="G71" i="2"/>
  <c r="J20" i="4"/>
  <c r="C18" i="19"/>
  <c r="I29" i="4"/>
  <c r="J29" i="4" s="1"/>
  <c r="I24" i="4"/>
  <c r="I23" i="4"/>
  <c r="K23" i="4" s="1"/>
  <c r="I20" i="4"/>
  <c r="I16" i="4"/>
  <c r="C24" i="4"/>
  <c r="C23" i="4"/>
  <c r="D23" i="4" s="1"/>
  <c r="K16" i="4" l="1"/>
  <c r="J16" i="4"/>
  <c r="D18" i="20"/>
  <c r="K24" i="4"/>
  <c r="E23" i="4"/>
  <c r="J23" i="4"/>
  <c r="E24" i="4"/>
  <c r="C29" i="4"/>
  <c r="C20" i="4"/>
  <c r="E20" i="4" s="1"/>
  <c r="K20" i="4" s="1"/>
  <c r="C16" i="4"/>
  <c r="D16" i="4" s="1"/>
  <c r="D29" i="4" l="1"/>
  <c r="D31" i="4" s="1"/>
  <c r="E29" i="4"/>
  <c r="E16" i="4"/>
  <c r="F31" i="4"/>
  <c r="K11" i="19"/>
  <c r="L11" i="19" s="1"/>
  <c r="L12" i="19"/>
  <c r="I13" i="19"/>
  <c r="J13" i="19"/>
  <c r="J31" i="19"/>
  <c r="K31" i="19"/>
  <c r="G29" i="4" l="1"/>
  <c r="G31" i="4" s="1"/>
  <c r="E31" i="4"/>
  <c r="L13" i="19"/>
  <c r="K13" i="19"/>
  <c r="L31" i="4"/>
  <c r="K31" i="4"/>
  <c r="M29" i="4"/>
  <c r="M31" i="4" s="1"/>
  <c r="F31" i="19"/>
  <c r="C31" i="19"/>
  <c r="E29" i="19"/>
  <c r="C26" i="19"/>
  <c r="E24" i="19"/>
  <c r="E23" i="19"/>
  <c r="I23" i="19" s="1"/>
  <c r="E16" i="19"/>
  <c r="E20" i="19"/>
  <c r="C13" i="19"/>
  <c r="J16" i="19" l="1"/>
  <c r="I20" i="19"/>
  <c r="L20" i="19" s="1"/>
  <c r="I29" i="19"/>
  <c r="L29" i="19" s="1"/>
  <c r="L31" i="19" s="1"/>
  <c r="E18" i="19"/>
  <c r="I24" i="19"/>
  <c r="I26" i="19" s="1"/>
  <c r="C25" i="4"/>
  <c r="I25" i="4" s="1"/>
  <c r="K25" i="4" s="1"/>
  <c r="J31" i="4"/>
  <c r="G29" i="19"/>
  <c r="G31" i="19" s="1"/>
  <c r="E31" i="19"/>
  <c r="D30" i="17"/>
  <c r="D20" i="17"/>
  <c r="F40" i="17" s="1"/>
  <c r="L15" i="17"/>
  <c r="D34" i="2"/>
  <c r="I31" i="19" l="1"/>
  <c r="G34" i="2"/>
  <c r="D51" i="20"/>
  <c r="E25" i="4"/>
  <c r="J18" i="19"/>
  <c r="I18" i="19"/>
  <c r="F24" i="4"/>
  <c r="L16" i="19"/>
  <c r="D18" i="4"/>
  <c r="F18" i="4"/>
  <c r="D26" i="4"/>
  <c r="G52" i="2"/>
  <c r="B41" i="1"/>
  <c r="G40" i="2"/>
  <c r="I40" i="2" s="1"/>
  <c r="I33" i="19" l="1"/>
  <c r="D33" i="4"/>
  <c r="F26" i="4"/>
  <c r="F33" i="4" s="1"/>
  <c r="G25" i="4"/>
  <c r="B3" i="48"/>
  <c r="E88" i="2" l="1"/>
  <c r="D21" i="2"/>
  <c r="D48" i="20" s="1"/>
  <c r="B30" i="1"/>
  <c r="E30" i="1"/>
  <c r="D23" i="22" s="1"/>
  <c r="G88" i="2" l="1"/>
  <c r="F18" i="46"/>
  <c r="D11" i="22" l="1"/>
  <c r="B16" i="1"/>
  <c r="B66" i="1"/>
  <c r="G51" i="2"/>
  <c r="E16" i="1" l="1"/>
  <c r="D22" i="22" s="1"/>
  <c r="D47" i="20"/>
  <c r="E56" i="2"/>
  <c r="D41" i="1"/>
  <c r="D12" i="22" s="1"/>
  <c r="G20" i="2" l="1"/>
  <c r="D91" i="2"/>
  <c r="B42" i="1"/>
  <c r="E46" i="30" l="1"/>
  <c r="E48" i="30" s="1"/>
  <c r="G45" i="30"/>
  <c r="G48" i="30" s="1"/>
  <c r="H48" i="30"/>
  <c r="F48" i="30"/>
  <c r="C48" i="30"/>
  <c r="B80" i="2" s="1"/>
  <c r="E80" i="2" l="1"/>
  <c r="D33" i="2" l="1"/>
  <c r="G15" i="17" l="1"/>
  <c r="E19" i="1" l="1"/>
  <c r="D24" i="22"/>
  <c r="B7" i="2"/>
  <c r="B6" i="2"/>
  <c r="E26" i="20" l="1"/>
  <c r="G21" i="2" l="1"/>
  <c r="G30" i="1"/>
  <c r="A2" i="1" l="1"/>
  <c r="B2" i="48" s="1"/>
  <c r="A1" i="1"/>
  <c r="B1" i="48" s="1"/>
  <c r="G22" i="1" l="1"/>
  <c r="B12" i="9"/>
  <c r="B9" i="9"/>
  <c r="E25" i="20"/>
  <c r="H53" i="38"/>
  <c r="G16" i="1" l="1"/>
  <c r="E56" i="9"/>
  <c r="E58" i="9" s="1"/>
  <c r="B14" i="2"/>
  <c r="F53" i="9"/>
  <c r="E60" i="9" l="1"/>
  <c r="E66" i="2"/>
  <c r="B35" i="1"/>
  <c r="C22" i="48" l="1"/>
  <c r="B63" i="1"/>
  <c r="E23" i="48" l="1"/>
  <c r="F11" i="52"/>
  <c r="E29" i="20"/>
  <c r="F54" i="38" l="1"/>
  <c r="B66" i="2" l="1"/>
  <c r="B65" i="2"/>
  <c r="G16" i="19" l="1"/>
  <c r="F18" i="19"/>
  <c r="E68" i="38"/>
  <c r="G54" i="38"/>
  <c r="G53" i="38"/>
  <c r="I54" i="38"/>
  <c r="I46" i="38"/>
  <c r="H45" i="38"/>
  <c r="I45" i="38" s="1"/>
  <c r="E18" i="4" l="1"/>
  <c r="G16" i="4"/>
  <c r="G18" i="4" s="1"/>
  <c r="G17" i="19"/>
  <c r="G18" i="19" s="1"/>
  <c r="K18" i="19"/>
  <c r="K18" i="4"/>
  <c r="I53" i="38"/>
  <c r="I56" i="38" s="1"/>
  <c r="I58" i="38" s="1"/>
  <c r="E65" i="38" s="1"/>
  <c r="E70" i="38" s="1"/>
  <c r="E73" i="38" s="1"/>
  <c r="G46" i="38"/>
  <c r="G45" i="38"/>
  <c r="I123" i="2"/>
  <c r="I36" i="1"/>
  <c r="I42" i="1" s="1"/>
  <c r="L17" i="19" l="1"/>
  <c r="L18" i="19" s="1"/>
  <c r="L18" i="4"/>
  <c r="E72" i="38"/>
  <c r="G56" i="38"/>
  <c r="E75" i="38" s="1"/>
  <c r="E77" i="38" l="1"/>
  <c r="M16" i="4"/>
  <c r="J18" i="4"/>
  <c r="M17" i="4"/>
  <c r="B87" i="2"/>
  <c r="M18" i="4" l="1"/>
  <c r="E32" i="20"/>
  <c r="E87" i="2"/>
  <c r="G87" i="2" l="1"/>
  <c r="A2" i="2"/>
  <c r="A3" i="2"/>
  <c r="A1" i="2"/>
  <c r="B1" i="46" l="1"/>
  <c r="B23" i="46" s="1"/>
  <c r="B3" i="46"/>
  <c r="B25" i="46" s="1"/>
  <c r="B2" i="46"/>
  <c r="B24" i="46" s="1"/>
  <c r="B1" i="17"/>
  <c r="B2" i="17"/>
  <c r="B3" i="17"/>
  <c r="E61" i="20"/>
  <c r="B32" i="2" l="1"/>
  <c r="G29" i="17"/>
  <c r="D32" i="2" l="1"/>
  <c r="G32" i="2" s="1"/>
  <c r="F23" i="52"/>
  <c r="D25" i="22"/>
  <c r="E21" i="1"/>
  <c r="D49" i="20" l="1"/>
  <c r="J24" i="19"/>
  <c r="B56" i="2"/>
  <c r="B62" i="2" s="1"/>
  <c r="E17" i="30" s="1"/>
  <c r="E18" i="30" s="1"/>
  <c r="E24" i="20"/>
  <c r="G50" i="2"/>
  <c r="F53" i="30"/>
  <c r="F57" i="30" s="1"/>
  <c r="E55" i="30"/>
  <c r="H57" i="30"/>
  <c r="E89" i="2" s="1"/>
  <c r="C57" i="30"/>
  <c r="F19" i="9"/>
  <c r="D19" i="9"/>
  <c r="F32" i="9"/>
  <c r="G32" i="9" s="1"/>
  <c r="F33" i="9"/>
  <c r="G33" i="9" s="1"/>
  <c r="F34" i="9"/>
  <c r="G34" i="9" s="1"/>
  <c r="F35" i="9"/>
  <c r="G35" i="9" s="1"/>
  <c r="D37" i="9"/>
  <c r="B31" i="1" s="1"/>
  <c r="F17" i="37"/>
  <c r="J23" i="19"/>
  <c r="D48" i="1" s="1"/>
  <c r="E8" i="19"/>
  <c r="F11" i="19"/>
  <c r="G11" i="19" s="1"/>
  <c r="G12" i="19"/>
  <c r="E13" i="19"/>
  <c r="G20" i="19"/>
  <c r="G20" i="4" s="1"/>
  <c r="G23" i="19"/>
  <c r="F24" i="19"/>
  <c r="E26" i="19"/>
  <c r="E33" i="19" s="1"/>
  <c r="G8" i="17"/>
  <c r="I8" i="17"/>
  <c r="G13" i="17"/>
  <c r="L13" i="17"/>
  <c r="G12" i="17"/>
  <c r="G16" i="17" s="1"/>
  <c r="I12" i="17"/>
  <c r="G19" i="17"/>
  <c r="F20" i="17"/>
  <c r="G20" i="17" s="1"/>
  <c r="G21" i="17"/>
  <c r="K21" i="17"/>
  <c r="L21" i="17" s="1"/>
  <c r="G22" i="17"/>
  <c r="E23" i="17"/>
  <c r="G26" i="17"/>
  <c r="G30" i="17" s="1"/>
  <c r="B21" i="1" s="1"/>
  <c r="K26" i="17"/>
  <c r="E30" i="17"/>
  <c r="F30" i="17"/>
  <c r="I30" i="17"/>
  <c r="G129" i="2"/>
  <c r="B8" i="2"/>
  <c r="I8" i="2" s="1"/>
  <c r="E8" i="48" s="1"/>
  <c r="G12" i="2"/>
  <c r="G11" i="2"/>
  <c r="G14" i="2"/>
  <c r="B15" i="2"/>
  <c r="G13" i="2"/>
  <c r="G18" i="2"/>
  <c r="G67" i="2"/>
  <c r="G68" i="2"/>
  <c r="G73" i="2"/>
  <c r="G75" i="2"/>
  <c r="E30" i="20"/>
  <c r="G76" i="2"/>
  <c r="G79" i="2"/>
  <c r="E94" i="2"/>
  <c r="G94" i="2" s="1"/>
  <c r="E95" i="2"/>
  <c r="E35" i="20" s="1"/>
  <c r="D105" i="2"/>
  <c r="I138" i="2"/>
  <c r="B1" i="22"/>
  <c r="B1" i="20" s="1"/>
  <c r="A1" i="19" s="1"/>
  <c r="A1" i="4" s="1"/>
  <c r="A1" i="37" s="1"/>
  <c r="B1" i="9" s="1"/>
  <c r="B2" i="22"/>
  <c r="B2" i="20" s="1"/>
  <c r="A2" i="19" s="1"/>
  <c r="A2" i="4" s="1"/>
  <c r="A2" i="37" s="1"/>
  <c r="B2" i="9" s="1"/>
  <c r="B3" i="22"/>
  <c r="B3" i="20" s="1"/>
  <c r="A3" i="19" s="1"/>
  <c r="A3" i="4" s="1"/>
  <c r="A3" i="37" s="1"/>
  <c r="B3" i="9" s="1"/>
  <c r="G8" i="1"/>
  <c r="I56" i="1"/>
  <c r="I59" i="1" s="1"/>
  <c r="I74" i="1" s="1"/>
  <c r="I77" i="1" s="1"/>
  <c r="G40" i="1"/>
  <c r="G41" i="1"/>
  <c r="G64" i="1"/>
  <c r="G65" i="1"/>
  <c r="G67" i="1"/>
  <c r="G69" i="1"/>
  <c r="G71" i="1"/>
  <c r="C11" i="25"/>
  <c r="L12" i="17" l="1"/>
  <c r="L16" i="17" s="1"/>
  <c r="I16" i="17"/>
  <c r="E32" i="17"/>
  <c r="C13" i="25"/>
  <c r="C14" i="25" s="1"/>
  <c r="B47" i="1"/>
  <c r="G47" i="1" s="1"/>
  <c r="G24" i="19"/>
  <c r="D15" i="37"/>
  <c r="K24" i="19"/>
  <c r="G23" i="4"/>
  <c r="D8" i="4"/>
  <c r="I8" i="19"/>
  <c r="J8" i="4" s="1"/>
  <c r="J26" i="19"/>
  <c r="J33" i="19" s="1"/>
  <c r="L23" i="19"/>
  <c r="H9" i="46"/>
  <c r="I9" i="46" s="1"/>
  <c r="G42" i="1"/>
  <c r="L24" i="4"/>
  <c r="J30" i="37" s="1"/>
  <c r="G8" i="19"/>
  <c r="G89" i="2"/>
  <c r="D23" i="1"/>
  <c r="K15" i="2"/>
  <c r="B81" i="2"/>
  <c r="E57" i="30"/>
  <c r="E96" i="2"/>
  <c r="E36" i="20" s="1"/>
  <c r="B46" i="9"/>
  <c r="B2" i="38"/>
  <c r="B2" i="30" s="1"/>
  <c r="B2" i="52" s="1"/>
  <c r="B46" i="52" s="1"/>
  <c r="B47" i="9"/>
  <c r="B3" i="38"/>
  <c r="B3" i="30" s="1"/>
  <c r="B3" i="52" s="1"/>
  <c r="B47" i="52" s="1"/>
  <c r="B45" i="9"/>
  <c r="B1" i="38"/>
  <c r="B1" i="30" s="1"/>
  <c r="B1" i="52" s="1"/>
  <c r="B45" i="52" s="1"/>
  <c r="G63" i="1"/>
  <c r="E34" i="20"/>
  <c r="G56" i="2"/>
  <c r="G66" i="2"/>
  <c r="B46" i="1"/>
  <c r="E65" i="2"/>
  <c r="G65" i="2" s="1"/>
  <c r="J26" i="4"/>
  <c r="J33" i="4" s="1"/>
  <c r="E41" i="17"/>
  <c r="E43" i="17" s="1"/>
  <c r="G57" i="30"/>
  <c r="K30" i="17"/>
  <c r="L19" i="17"/>
  <c r="G33" i="2"/>
  <c r="G95" i="2"/>
  <c r="G19" i="9"/>
  <c r="D43" i="2" s="1"/>
  <c r="E55" i="20" s="1"/>
  <c r="I20" i="17"/>
  <c r="I23" i="17" s="1"/>
  <c r="G80" i="2"/>
  <c r="D50" i="20"/>
  <c r="K107" i="2"/>
  <c r="K114" i="2" s="1"/>
  <c r="K119" i="2" s="1"/>
  <c r="K121" i="2" s="1"/>
  <c r="K122" i="2" s="1"/>
  <c r="G13" i="19"/>
  <c r="B49" i="1"/>
  <c r="G49" i="1" s="1"/>
  <c r="G37" i="9"/>
  <c r="G15" i="2"/>
  <c r="G23" i="17"/>
  <c r="B20" i="1" s="1"/>
  <c r="F26" i="19"/>
  <c r="G25" i="19"/>
  <c r="F13" i="19"/>
  <c r="B25" i="9"/>
  <c r="B23" i="9"/>
  <c r="B24" i="9"/>
  <c r="M20" i="4"/>
  <c r="D13" i="37"/>
  <c r="K13" i="37"/>
  <c r="F23" i="17"/>
  <c r="L8" i="17"/>
  <c r="C15" i="25" l="1"/>
  <c r="C16" i="25" s="1"/>
  <c r="C17" i="25" s="1"/>
  <c r="C18" i="25" s="1"/>
  <c r="C19" i="25" s="1"/>
  <c r="C20" i="25" s="1"/>
  <c r="C21" i="25" s="1"/>
  <c r="C22" i="25" s="1"/>
  <c r="C23" i="25" s="1"/>
  <c r="C24" i="25" s="1"/>
  <c r="C25" i="25" s="1"/>
  <c r="C26" i="25" s="1"/>
  <c r="B19" i="1"/>
  <c r="B24" i="1" s="1"/>
  <c r="G32" i="17"/>
  <c r="F32" i="17"/>
  <c r="G33" i="17" s="1"/>
  <c r="I32" i="17"/>
  <c r="F33" i="19"/>
  <c r="K84" i="2"/>
  <c r="K23" i="2"/>
  <c r="K26" i="2" s="1"/>
  <c r="D30" i="2"/>
  <c r="I56" i="2"/>
  <c r="G24" i="4"/>
  <c r="G26" i="4" s="1"/>
  <c r="J29" i="37"/>
  <c r="K29" i="37" s="1"/>
  <c r="K15" i="37" s="1"/>
  <c r="G29" i="1"/>
  <c r="E45" i="1"/>
  <c r="D26" i="22" s="1"/>
  <c r="L26" i="17"/>
  <c r="L30" i="17" s="1"/>
  <c r="I15" i="2"/>
  <c r="B35" i="30"/>
  <c r="B37" i="30"/>
  <c r="B36" i="30"/>
  <c r="L24" i="19"/>
  <c r="K26" i="19"/>
  <c r="K33" i="19" s="1"/>
  <c r="G8" i="4"/>
  <c r="L8" i="19"/>
  <c r="M8" i="4" s="1"/>
  <c r="E26" i="4"/>
  <c r="E33" i="4" s="1"/>
  <c r="K26" i="4"/>
  <c r="K33" i="4" s="1"/>
  <c r="L25" i="19"/>
  <c r="K123" i="2"/>
  <c r="K124" i="2" s="1"/>
  <c r="G23" i="1"/>
  <c r="G26" i="2"/>
  <c r="I26" i="2" s="1"/>
  <c r="B45" i="1"/>
  <c r="D33" i="20"/>
  <c r="G70" i="1"/>
  <c r="B37" i="38"/>
  <c r="B39" i="38"/>
  <c r="B38" i="38"/>
  <c r="B23" i="2"/>
  <c r="I124" i="2"/>
  <c r="J30" i="17"/>
  <c r="D21" i="1" s="1"/>
  <c r="G21" i="1" s="1"/>
  <c r="G96" i="2"/>
  <c r="L26" i="4"/>
  <c r="L33" i="4" s="1"/>
  <c r="E22" i="2"/>
  <c r="E31" i="20"/>
  <c r="G81" i="2"/>
  <c r="J20" i="17"/>
  <c r="K20" i="17" s="1"/>
  <c r="F41" i="17" s="1"/>
  <c r="M24" i="4"/>
  <c r="G43" i="2"/>
  <c r="E15" i="37"/>
  <c r="G26" i="19"/>
  <c r="G33" i="19" s="1"/>
  <c r="L13" i="37"/>
  <c r="M25" i="4"/>
  <c r="E13" i="37"/>
  <c r="M23" i="4"/>
  <c r="G19" i="1" l="1"/>
  <c r="E42" i="20"/>
  <c r="G33" i="4"/>
  <c r="B51" i="1" s="1"/>
  <c r="G30" i="2"/>
  <c r="K31" i="37"/>
  <c r="K32" i="37" s="1"/>
  <c r="I15" i="37" s="1"/>
  <c r="J15" i="37" s="1"/>
  <c r="G134" i="2"/>
  <c r="F43" i="17"/>
  <c r="K126" i="2"/>
  <c r="G31" i="1"/>
  <c r="G45" i="1"/>
  <c r="L26" i="19"/>
  <c r="L33" i="19" s="1"/>
  <c r="B48" i="1"/>
  <c r="B25" i="1"/>
  <c r="E15" i="20"/>
  <c r="E18" i="20" s="1"/>
  <c r="G18" i="20" s="1"/>
  <c r="G22" i="2"/>
  <c r="G23" i="2" s="1"/>
  <c r="J23" i="17"/>
  <c r="D17" i="37"/>
  <c r="M26" i="4"/>
  <c r="M33" i="4" s="1"/>
  <c r="G17" i="37"/>
  <c r="H17" i="37"/>
  <c r="L20" i="17"/>
  <c r="L23" i="17" s="1"/>
  <c r="L32" i="17" s="1"/>
  <c r="K23" i="17"/>
  <c r="K32" i="17" s="1"/>
  <c r="B50" i="1" l="1"/>
  <c r="B52" i="1" s="1"/>
  <c r="J32" i="17"/>
  <c r="G10" i="48"/>
  <c r="K131" i="2"/>
  <c r="K138" i="2" s="1"/>
  <c r="K140" i="2" s="1"/>
  <c r="G12" i="48" s="1"/>
  <c r="G14" i="48" s="1"/>
  <c r="G25" i="48" s="1"/>
  <c r="D77" i="2"/>
  <c r="D60" i="20" s="1"/>
  <c r="B91" i="2"/>
  <c r="D20" i="1"/>
  <c r="G20" i="1" s="1"/>
  <c r="D13" i="22"/>
  <c r="D15" i="22"/>
  <c r="I23" i="2"/>
  <c r="G44" i="2"/>
  <c r="G45" i="2" s="1"/>
  <c r="I45" i="2" s="1"/>
  <c r="D45" i="2"/>
  <c r="G59" i="2"/>
  <c r="G58" i="2"/>
  <c r="E51" i="1"/>
  <c r="D27" i="22" s="1"/>
  <c r="L33" i="17" l="1"/>
  <c r="G26" i="48"/>
  <c r="G27" i="48" s="1"/>
  <c r="G28" i="48" s="1"/>
  <c r="G29" i="48" s="1"/>
  <c r="G31" i="48" s="1"/>
  <c r="G33" i="48" s="1"/>
  <c r="G34" i="48" s="1"/>
  <c r="G35" i="48" s="1"/>
  <c r="G36" i="48" s="1"/>
  <c r="E91" i="2"/>
  <c r="G91" i="2"/>
  <c r="G48" i="1"/>
  <c r="G24" i="1"/>
  <c r="B77" i="2"/>
  <c r="G51" i="1"/>
  <c r="I17" i="37"/>
  <c r="E109" i="2" s="1"/>
  <c r="G109" i="2" s="1"/>
  <c r="I109" i="2" s="1"/>
  <c r="G69" i="20" s="1"/>
  <c r="D60" i="2"/>
  <c r="K17" i="37"/>
  <c r="G135" i="2" s="1"/>
  <c r="D84" i="2"/>
  <c r="G60" i="2"/>
  <c r="I60" i="2" s="1"/>
  <c r="G37" i="48" l="1"/>
  <c r="G38" i="48" s="1"/>
  <c r="G39" i="48" s="1"/>
  <c r="G40" i="48" s="1"/>
  <c r="G42" i="48" s="1"/>
  <c r="G43" i="48" s="1"/>
  <c r="G44" i="48" s="1"/>
  <c r="G46" i="48" s="1"/>
  <c r="G62" i="2"/>
  <c r="G25" i="1"/>
  <c r="G77" i="2"/>
  <c r="E38" i="2"/>
  <c r="K33" i="37"/>
  <c r="I62" i="2"/>
  <c r="G136" i="2"/>
  <c r="I136" i="2" s="1"/>
  <c r="G48" i="48" l="1"/>
  <c r="G118" i="2"/>
  <c r="E31" i="52" s="1"/>
  <c r="L15" i="37"/>
  <c r="L17" i="37" s="1"/>
  <c r="J17" i="37"/>
  <c r="G130" i="2" s="1"/>
  <c r="G117" i="2"/>
  <c r="E30" i="52" s="1"/>
  <c r="F29" i="52" l="1"/>
  <c r="G50" i="48"/>
  <c r="G52" i="48" s="1"/>
  <c r="G131" i="2"/>
  <c r="I131" i="2" s="1"/>
  <c r="G119" i="2"/>
  <c r="I119" i="2" s="1"/>
  <c r="D63" i="20" s="1"/>
  <c r="D65" i="20" s="1"/>
  <c r="E17" i="37"/>
  <c r="I140" i="2" l="1"/>
  <c r="B31" i="2"/>
  <c r="E98" i="2"/>
  <c r="E12" i="48" l="1"/>
  <c r="E28" i="48" s="1"/>
  <c r="B36" i="2"/>
  <c r="F25" i="52"/>
  <c r="D31" i="2"/>
  <c r="D38" i="2" s="1"/>
  <c r="G98" i="2"/>
  <c r="B38" i="2" l="1"/>
  <c r="E43" i="20"/>
  <c r="E65" i="20" s="1"/>
  <c r="G65" i="20" s="1"/>
  <c r="G31" i="2"/>
  <c r="G36" i="2" s="1"/>
  <c r="B70" i="2" l="1"/>
  <c r="B34" i="1"/>
  <c r="E34" i="1" s="1"/>
  <c r="E38" i="48" s="1"/>
  <c r="B33" i="1"/>
  <c r="E33" i="1" s="1"/>
  <c r="E39" i="48" s="1"/>
  <c r="G38" i="2"/>
  <c r="B47" i="2"/>
  <c r="B68" i="1" s="1"/>
  <c r="G68" i="1" s="1"/>
  <c r="E70" i="2"/>
  <c r="E27" i="20" s="1"/>
  <c r="B36" i="1" l="1"/>
  <c r="E40" i="48"/>
  <c r="E58" i="52" s="1"/>
  <c r="F58" i="52" s="1"/>
  <c r="I36" i="2"/>
  <c r="G70" i="2"/>
  <c r="G34" i="1"/>
  <c r="D29" i="22"/>
  <c r="I38" i="2" l="1"/>
  <c r="I47" i="2" l="1"/>
  <c r="D46" i="1"/>
  <c r="D14" i="22" s="1"/>
  <c r="G46" i="1" l="1"/>
  <c r="G50" i="1" s="1"/>
  <c r="G52" i="1" s="1"/>
  <c r="E35" i="1" l="1"/>
  <c r="G82" i="2" l="1"/>
  <c r="D30" i="22"/>
  <c r="G35" i="1"/>
  <c r="E38" i="20" l="1"/>
  <c r="F21" i="52" s="1"/>
  <c r="G33" i="1"/>
  <c r="E101" i="2"/>
  <c r="G101" i="2" l="1"/>
  <c r="D66" i="1"/>
  <c r="D16" i="22" l="1"/>
  <c r="B84" i="2" l="1"/>
  <c r="E20" i="30" l="1"/>
  <c r="E21" i="30" s="1"/>
  <c r="G84" i="2"/>
  <c r="G107" i="2" s="1"/>
  <c r="D38" i="20"/>
  <c r="D59" i="1"/>
  <c r="E84" i="2"/>
  <c r="I91" i="2"/>
  <c r="G38" i="20" l="1"/>
  <c r="G36" i="1"/>
  <c r="I84" i="2"/>
  <c r="I98" i="2"/>
  <c r="E55" i="1" l="1"/>
  <c r="G55" i="1" s="1"/>
  <c r="G56" i="1" s="1"/>
  <c r="E103" i="2"/>
  <c r="G103" i="2" s="1"/>
  <c r="I105" i="2" s="1"/>
  <c r="I107" i="2" s="1"/>
  <c r="I112" i="2" s="1"/>
  <c r="I121" i="2" s="1"/>
  <c r="B56" i="1" l="1"/>
  <c r="B59" i="1" s="1"/>
  <c r="D72" i="1"/>
  <c r="G72" i="1" s="1"/>
  <c r="B74" i="1"/>
  <c r="E102" i="2"/>
  <c r="E105" i="2" s="1"/>
  <c r="B105" i="2"/>
  <c r="B112" i="2" s="1"/>
  <c r="G59" i="1"/>
  <c r="D32" i="22"/>
  <c r="E59" i="1"/>
  <c r="B77" i="1" l="1"/>
  <c r="D17" i="22"/>
  <c r="E18" i="22" s="1"/>
  <c r="D74" i="1"/>
  <c r="G8" i="20"/>
  <c r="I126" i="2" l="1"/>
  <c r="B79" i="1"/>
  <c r="E7" i="22"/>
  <c r="G7" i="20"/>
  <c r="G9" i="20" s="1"/>
  <c r="G67" i="20" s="1"/>
  <c r="F19" i="52" l="1"/>
  <c r="F33" i="52" s="1"/>
  <c r="F39" i="52" s="1"/>
  <c r="E10" i="48"/>
  <c r="E14" i="48" s="1"/>
  <c r="E16" i="48" l="1"/>
  <c r="E25" i="48" l="1"/>
  <c r="E53" i="52" s="1"/>
  <c r="F53" i="52" l="1"/>
  <c r="F55" i="52" s="1"/>
  <c r="F57" i="52" s="1"/>
  <c r="F60" i="52" s="1"/>
  <c r="E55" i="52"/>
  <c r="E57" i="52" s="1"/>
  <c r="E60" i="52" s="1"/>
  <c r="F10" i="52"/>
  <c r="F14" i="52" s="1"/>
  <c r="F38" i="52" s="1"/>
  <c r="H38" i="52" s="1"/>
  <c r="E27" i="48"/>
  <c r="E31" i="48" s="1"/>
  <c r="C57" i="48"/>
  <c r="C59" i="48" s="1"/>
  <c r="E59" i="48" s="1"/>
  <c r="E60" i="48" s="1"/>
  <c r="F62" i="52" l="1"/>
  <c r="E42" i="48" s="1"/>
  <c r="E46" i="48" s="1"/>
  <c r="E50" i="48" s="1"/>
  <c r="E66" i="1" s="1"/>
  <c r="D31" i="22" l="1"/>
  <c r="E33" i="22" s="1"/>
  <c r="E36" i="22" s="1"/>
  <c r="G66" i="1"/>
  <c r="G74" i="1" s="1"/>
  <c r="E74" i="1"/>
  <c r="G77" i="1" l="1"/>
  <c r="E38" i="22" s="1"/>
  <c r="G79" i="1" l="1"/>
  <c r="G71" i="20"/>
  <c r="G73" i="20" s="1"/>
</calcChain>
</file>

<file path=xl/sharedStrings.xml><?xml version="1.0" encoding="utf-8"?>
<sst xmlns="http://schemas.openxmlformats.org/spreadsheetml/2006/main" count="847" uniqueCount="636">
  <si>
    <t>ANEXO 1</t>
  </si>
  <si>
    <t xml:space="preserve">SALDO </t>
  </si>
  <si>
    <t>AJUSTES Y RECLASIFICACIONES</t>
  </si>
  <si>
    <t>SALDO</t>
  </si>
  <si>
    <t>CONTABLE</t>
  </si>
  <si>
    <t>FISCALES</t>
  </si>
  <si>
    <t>FISCAL</t>
  </si>
  <si>
    <t>DEBITO</t>
  </si>
  <si>
    <t>CREDITO</t>
  </si>
  <si>
    <t>ACTIVO</t>
  </si>
  <si>
    <t>Inventario de productos terminados</t>
  </si>
  <si>
    <t>PASIVO</t>
  </si>
  <si>
    <t xml:space="preserve"> </t>
  </si>
  <si>
    <t>Obligaciones Financieras</t>
  </si>
  <si>
    <t>Costos y gastos por pagar</t>
  </si>
  <si>
    <t>Retenciones por pagar - Renta</t>
  </si>
  <si>
    <t>Retenciones por pagar - ICA</t>
  </si>
  <si>
    <t>TOTAL PASIVO</t>
  </si>
  <si>
    <t>ANEXO 2</t>
  </si>
  <si>
    <t>PARCIAL</t>
  </si>
  <si>
    <t>Exportaciones</t>
  </si>
  <si>
    <t>Ventas nacionales</t>
  </si>
  <si>
    <t>Intereses presuntivos</t>
  </si>
  <si>
    <t>Dividendos</t>
  </si>
  <si>
    <t>Costo de ventas</t>
  </si>
  <si>
    <t>Costos</t>
  </si>
  <si>
    <t>Costo de acciones vendidas</t>
  </si>
  <si>
    <t>Costo de activos fijos vendidos</t>
  </si>
  <si>
    <t>Gastos de personal</t>
  </si>
  <si>
    <t>Honorarios</t>
  </si>
  <si>
    <t>Arrendamientos</t>
  </si>
  <si>
    <t>Seguros</t>
  </si>
  <si>
    <t>Asistencia técnica</t>
  </si>
  <si>
    <t>Mantenimiento y reparaciones</t>
  </si>
  <si>
    <t>Gastos de viaje</t>
  </si>
  <si>
    <t>Depreciaciones</t>
  </si>
  <si>
    <t>Comisiones</t>
  </si>
  <si>
    <t>Otros Diversos</t>
  </si>
  <si>
    <t>Gastos de ejercicios anteriores</t>
  </si>
  <si>
    <t>Multas, sanciones y litigios</t>
  </si>
  <si>
    <t>Donaciones</t>
  </si>
  <si>
    <t>Exceso de renta presuntiva sobre ordinaria</t>
  </si>
  <si>
    <t>Impuesto de Renta</t>
  </si>
  <si>
    <t>Impuesto neto de renta</t>
  </si>
  <si>
    <t>ANEXO 5</t>
  </si>
  <si>
    <t>ANEXO 7</t>
  </si>
  <si>
    <t>TIPO DE ACTIVO</t>
  </si>
  <si>
    <t>SALDO AL</t>
  </si>
  <si>
    <t>ADICIONES</t>
  </si>
  <si>
    <t>GASTO DEL</t>
  </si>
  <si>
    <t>AÑO</t>
  </si>
  <si>
    <t>TERRENOS</t>
  </si>
  <si>
    <t>Poseído todo el año</t>
  </si>
  <si>
    <t>TOTAL TERRENOS</t>
  </si>
  <si>
    <t>MUEBLES Y ENSERES</t>
  </si>
  <si>
    <t>MAQUINARIA Y EQUIPO</t>
  </si>
  <si>
    <t>Poseídos todo el año</t>
  </si>
  <si>
    <t>TOTAL MAQUINARIA Y EQUIPO</t>
  </si>
  <si>
    <t>TOTALES</t>
  </si>
  <si>
    <t>ANEXO 6</t>
  </si>
  <si>
    <t>MOVIMIENTOS</t>
  </si>
  <si>
    <t>NOMBRE DE LA INVERSION</t>
  </si>
  <si>
    <t>Y AJUSTES</t>
  </si>
  <si>
    <t>Poseídas todo el año</t>
  </si>
  <si>
    <t>VALOR</t>
  </si>
  <si>
    <t>PRECIO DE VENTA</t>
  </si>
  <si>
    <t>COSTO DE VENTA</t>
  </si>
  <si>
    <t>UTILIDAD / (PERDIDA)</t>
  </si>
  <si>
    <t>COSTO</t>
  </si>
  <si>
    <t>UTILIDAD</t>
  </si>
  <si>
    <t>DESCRIPCION</t>
  </si>
  <si>
    <t>FECHA DE</t>
  </si>
  <si>
    <t>PRECIO</t>
  </si>
  <si>
    <t>(PERDIDA)</t>
  </si>
  <si>
    <t>VENTA</t>
  </si>
  <si>
    <t>COMPRA</t>
  </si>
  <si>
    <t>DE VENTA</t>
  </si>
  <si>
    <t>INICIAL</t>
  </si>
  <si>
    <t>TERRENO</t>
  </si>
  <si>
    <t>MAQUINA</t>
  </si>
  <si>
    <t>ANEXO 9</t>
  </si>
  <si>
    <t>RETIROS</t>
  </si>
  <si>
    <t>(1)</t>
  </si>
  <si>
    <t>%</t>
  </si>
  <si>
    <t>TOTAL</t>
  </si>
  <si>
    <t>DIFERENCIA</t>
  </si>
  <si>
    <t>ANEXO 12</t>
  </si>
  <si>
    <t>FECHA</t>
  </si>
  <si>
    <t>AUMENTOS</t>
  </si>
  <si>
    <t>TASA (%)</t>
  </si>
  <si>
    <t>(ABONOS)</t>
  </si>
  <si>
    <t>JAVIER MARTINEZ</t>
  </si>
  <si>
    <t>El artículo 35 del E.T. determina que los préstamos en dinero otorgados por las sociedades a los</t>
  </si>
  <si>
    <t>ANEXO 16</t>
  </si>
  <si>
    <t>ANEXO 11</t>
  </si>
  <si>
    <t>ANEXO 15</t>
  </si>
  <si>
    <t>COSTO FISCAL</t>
  </si>
  <si>
    <t>(RETIROS)</t>
  </si>
  <si>
    <t>Octubre</t>
  </si>
  <si>
    <t>Noviembre</t>
  </si>
  <si>
    <t>Dividendos en acciones - Marzo</t>
  </si>
  <si>
    <t>ANEXO 2-1</t>
  </si>
  <si>
    <t>CONCILIACION ENTRE LA UTILIDAD CONTABLE Y FISCAL</t>
  </si>
  <si>
    <t>UTILIDAD CONTABLE DESPUES DE IMPUESTOS</t>
  </si>
  <si>
    <t>GASTO POR IMPUESTO DE RENTA</t>
  </si>
  <si>
    <t>UTILIDAD ANTES DE IMPUESTOS</t>
  </si>
  <si>
    <t>UTILIDAD CONTABLE EN VENTA DE INVERSIONES</t>
  </si>
  <si>
    <t>UTILIDAD CONTABLE EN VENTA DE ACTIVOS FIJOS</t>
  </si>
  <si>
    <t>COSTO FISCAL EN VENTA DE INVERSIONES</t>
  </si>
  <si>
    <t>TOTAL RENTA LIQUIDA GRAVABLE</t>
  </si>
  <si>
    <t>ANEXO 1-1</t>
  </si>
  <si>
    <t>CONCILIACION ENTRE EL PATRIMONIO CONTABLE Y FISCAL</t>
  </si>
  <si>
    <t>IMPUESTO DIFERIDO POR PAGAR</t>
  </si>
  <si>
    <t>IMPUESTO DIFERIDO POR COBRAR</t>
  </si>
  <si>
    <t>TOTAL PATRIMONIO FISCAL</t>
  </si>
  <si>
    <t>RENGLON</t>
  </si>
  <si>
    <t>FORMUL.</t>
  </si>
  <si>
    <t>INDICE DE ANEXOS</t>
  </si>
  <si>
    <t>ANEXO</t>
  </si>
  <si>
    <t>NOMBRE</t>
  </si>
  <si>
    <t>DEDUCCION POR GASTOS EN EL EXTERIOR</t>
  </si>
  <si>
    <t>1-1</t>
  </si>
  <si>
    <t>2-1</t>
  </si>
  <si>
    <t>TOTAL IMPUESTO A CARGO</t>
  </si>
  <si>
    <t>TOTAL SALDO A FAVOR</t>
  </si>
  <si>
    <t>Vendido en Noviembre</t>
  </si>
  <si>
    <t>DIVIDENDOS</t>
  </si>
  <si>
    <t>GRAVADOS</t>
  </si>
  <si>
    <t>Distribución de utilidades en acciones</t>
  </si>
  <si>
    <t>TOTAL DIVIDENDOS</t>
  </si>
  <si>
    <t>ANEXO 17</t>
  </si>
  <si>
    <t>NO</t>
  </si>
  <si>
    <t>DEDUCCION</t>
  </si>
  <si>
    <t>DEDUCIBLE</t>
  </si>
  <si>
    <t>NO LIMITADA</t>
  </si>
  <si>
    <t>(2)</t>
  </si>
  <si>
    <t>CONCEPTO</t>
  </si>
  <si>
    <t>GASTO</t>
  </si>
  <si>
    <t>LIMITADA</t>
  </si>
  <si>
    <t>(3)</t>
  </si>
  <si>
    <t>Vendidas en Junio</t>
  </si>
  <si>
    <t>INGRESOS POR DIVIDENDOS Y PARTICIPACIONES</t>
  </si>
  <si>
    <t>Adquiridas en Diciembre</t>
  </si>
  <si>
    <t>Utilidad en venta de inversiones</t>
  </si>
  <si>
    <t>TOTAL INGRESOS NETOS</t>
  </si>
  <si>
    <t>Intereses</t>
  </si>
  <si>
    <t>Recuperación de provisiones</t>
  </si>
  <si>
    <t>Gastos en el exterior</t>
  </si>
  <si>
    <t>Cuentas por cobrar socios y accionistas</t>
  </si>
  <si>
    <t>Prestaciones sociales consolidadas</t>
  </si>
  <si>
    <t>ANEXO 10</t>
  </si>
  <si>
    <t xml:space="preserve">INGRESOS POR DIVIDENDOS Y PARTICIPACIONES </t>
  </si>
  <si>
    <t>ANEXO 13</t>
  </si>
  <si>
    <t>Impuesto diferido por cobrar</t>
  </si>
  <si>
    <t>Impuesto diferido por pagar</t>
  </si>
  <si>
    <t>Rentas gravables</t>
  </si>
  <si>
    <t>Compensaciones</t>
  </si>
  <si>
    <t>Renta presuntiva</t>
  </si>
  <si>
    <t>Impuesto de ganancias ocasionales</t>
  </si>
  <si>
    <t>Autorretenciones</t>
  </si>
  <si>
    <t>Otras retenciones</t>
  </si>
  <si>
    <t>Más: Sanciones</t>
  </si>
  <si>
    <t>TOTAL COSTOS</t>
  </si>
  <si>
    <t xml:space="preserve">   DIVIDENDOS NO GRAVADOS</t>
  </si>
  <si>
    <t>GASTOS NO DEDUCIBLES:</t>
  </si>
  <si>
    <t>DEDUCCIONES ADICIONALES:</t>
  </si>
  <si>
    <t xml:space="preserve">   GASTO ASISTENCIA TECNICA SIN RETENCION</t>
  </si>
  <si>
    <t xml:space="preserve">   GASTO DE EJERCICIOS ANTERIORES</t>
  </si>
  <si>
    <t xml:space="preserve">   MULTAS SANCIONES Y LITIGIOS</t>
  </si>
  <si>
    <t xml:space="preserve">   MAYOR GASTO DEPRECIACION FISCAL / CONTABLE</t>
  </si>
  <si>
    <t>ELIMINACION PASIVO CONTABLE POR IMPUESTO DE RENTA</t>
  </si>
  <si>
    <t xml:space="preserve"> (*)</t>
  </si>
  <si>
    <t>Vendida en Octubre</t>
  </si>
  <si>
    <t>Adquirida en Mayo</t>
  </si>
  <si>
    <t>REAJUSTES</t>
  </si>
  <si>
    <t>ANEXO 4</t>
  </si>
  <si>
    <t>DEDUCCIÓN</t>
  </si>
  <si>
    <t>GANANCIA OCASIONAL</t>
  </si>
  <si>
    <t>TOTAL INGRESOS BRUTOS</t>
  </si>
  <si>
    <t>Ingresos por ganancias ocasionales</t>
  </si>
  <si>
    <t>Ganancias ocasionales no gravadas y exentas</t>
  </si>
  <si>
    <t>GANANCIAS OCASIONALES GRAVABLES</t>
  </si>
  <si>
    <t>DETALLE FISCAL</t>
  </si>
  <si>
    <t>Retenciones practicadas en el exterior</t>
  </si>
  <si>
    <t>RENTA</t>
  </si>
  <si>
    <t>Cuentas por cobrar</t>
  </si>
  <si>
    <t>Otros activos</t>
  </si>
  <si>
    <t>Ganancias ocasionales gravables</t>
  </si>
  <si>
    <t>Devoluciones, rebajas y descuentos en ventas</t>
  </si>
  <si>
    <t>PROMEDIO</t>
  </si>
  <si>
    <t>ANTICIPO 75%</t>
  </si>
  <si>
    <t>MENOS: RETENCIONES A FAVOR</t>
  </si>
  <si>
    <t>OPCIONES DE ANTICIPOS</t>
  </si>
  <si>
    <t>GANANCIA</t>
  </si>
  <si>
    <t>OCASIONAL</t>
  </si>
  <si>
    <t>(PÉRIDA)</t>
  </si>
  <si>
    <t>Precio de venta de inversiones en sociedades</t>
  </si>
  <si>
    <t>Precio de venta de propiedades, planta y equipo</t>
  </si>
  <si>
    <t>Costo de inversiones vendidas</t>
  </si>
  <si>
    <t>Costo de propiedades, planta y equipo</t>
  </si>
  <si>
    <t>RETENCIONES EN LA FUENTE EN EL EXTERIOR - DESCUENTO TRIBUTARIO</t>
  </si>
  <si>
    <t>MÁS: PARTIDAS QUE AUMENTAN LA UTILIDAD</t>
  </si>
  <si>
    <t>MENOS: PARTIDAS QUE DISMINUYEN LA UTILIDAD</t>
  </si>
  <si>
    <t>PROPIEDADES, PLANTA Y EQUIPO:</t>
  </si>
  <si>
    <t>Impuesto de Industria y comercio y avisos</t>
  </si>
  <si>
    <t>VEHICULOS</t>
  </si>
  <si>
    <t>Proveedores nacionales</t>
  </si>
  <si>
    <t>Aportes parafiscales y seguridad social</t>
  </si>
  <si>
    <t>Saldo anterior</t>
  </si>
  <si>
    <t>Gravamen a los movimientos financieros</t>
  </si>
  <si>
    <t>GASTOS</t>
  </si>
  <si>
    <t>DE PERSONAL</t>
  </si>
  <si>
    <t>APORTES</t>
  </si>
  <si>
    <t>Auxilios extralegales sin retención en la fuente</t>
  </si>
  <si>
    <t>VALOR GASTO CONTABLE</t>
  </si>
  <si>
    <t>MENOS: GASTOS NO DEDUCIBLES:</t>
  </si>
  <si>
    <t>MÁS: DEDUCCIONES ADICIONALES</t>
  </si>
  <si>
    <t>TRATAMIENTO FISCAL DE LOS GASTOS LABORALES</t>
  </si>
  <si>
    <t xml:space="preserve">   GASTOS LABORALES SIN RETENCIÓN EN LA FUENTE</t>
  </si>
  <si>
    <t>CALCULO DEL ANTICIPO PARA EL AÑO SIGUIENTE</t>
  </si>
  <si>
    <t>Ingreso por método de participación</t>
  </si>
  <si>
    <t>Superávit método de participación</t>
  </si>
  <si>
    <t>Menos descuentos tributarios:</t>
  </si>
  <si>
    <t>FECHA INICIAL</t>
  </si>
  <si>
    <t>FECHA FINAL</t>
  </si>
  <si>
    <t>ACREEDOR</t>
  </si>
  <si>
    <t>Entidades financieras:</t>
  </si>
  <si>
    <t>Costos por ganancias ocasionales</t>
  </si>
  <si>
    <t>Renta exenta</t>
  </si>
  <si>
    <t xml:space="preserve">   GRAVAMEN A LOS MOVIMIENTOS FINANCIEROS (50%)</t>
  </si>
  <si>
    <t xml:space="preserve">   INTERESES NO DEDUCIBLES - SUBCAPITALIZACIÓN</t>
  </si>
  <si>
    <t>DEDUCCIÓN POR INTERESES - SUBCAPITALIZACIÓN</t>
  </si>
  <si>
    <t>VALOR INTERESES</t>
  </si>
  <si>
    <t>V/R CRÉDITO (BASE)</t>
  </si>
  <si>
    <t>DEUDA PONDERADA</t>
  </si>
  <si>
    <t>Monto máximo de endeudamiento aceptado</t>
  </si>
  <si>
    <t>Exceso de endeudamiento</t>
  </si>
  <si>
    <t>Patrimonio líquido año anterior</t>
  </si>
  <si>
    <t>Monto total promedio de las deudas</t>
  </si>
  <si>
    <t>( A )</t>
  </si>
  <si>
    <t>( B )</t>
  </si>
  <si>
    <t>Proporción de intereses no deducibles</t>
  </si>
  <si>
    <t>Proporción de intereses deducibles</t>
  </si>
  <si>
    <t xml:space="preserve">      Menos: Costo fiscal al momento de la venta:</t>
  </si>
  <si>
    <t>Depreciación acumulada</t>
  </si>
  <si>
    <t>Impuesto de Renta Corriente</t>
  </si>
  <si>
    <t>Renta líquida gravable</t>
  </si>
  <si>
    <t>Préstamos de accionistas:</t>
  </si>
  <si>
    <t>Retenciones por cobrar - Renta</t>
  </si>
  <si>
    <t>Pérdidas fiscales</t>
  </si>
  <si>
    <t>SALDO A FAVOR SEGÚN DECLARACIÓN DE RENTA</t>
  </si>
  <si>
    <t>RETENCIONES EN LA FUENTE - ELIMINACIÓN SALDO CONTABLE</t>
  </si>
  <si>
    <t>MAS: PARTIDAS QUE AUMENTAN EL PATRIMONIO</t>
  </si>
  <si>
    <t>MENOS: PARTIDAS QUE DISMINUYEN EL PATRIMONIO</t>
  </si>
  <si>
    <t xml:space="preserve">      Utilidad (pérdida) en la venta</t>
  </si>
  <si>
    <t>NOMBRE ACCIONISTA</t>
  </si>
  <si>
    <t>DESCUENTO TRIBUTARIO POR IMPUESTOS PAGADOS EN EL EXTERIOR</t>
  </si>
  <si>
    <t>Ingresos de fuente extranjera</t>
  </si>
  <si>
    <t>RETENCIÓN</t>
  </si>
  <si>
    <t>Menos: Costos y deducciones</t>
  </si>
  <si>
    <t>Renta obtenida en el exterior</t>
  </si>
  <si>
    <t>Deducción adicional por contratación de discapacitados</t>
  </si>
  <si>
    <t>VALOR DEDUCCIÓN FISCAL</t>
  </si>
  <si>
    <t>(A) - (B)</t>
  </si>
  <si>
    <t>ACTUAL</t>
  </si>
  <si>
    <t>Pagos a trabajadores con ingresos de más de 10</t>
  </si>
  <si>
    <t xml:space="preserve">     salarios mínimos, sin los aportes respectivos</t>
  </si>
  <si>
    <t xml:space="preserve">   GASTOS DE PERSONAL CON MÁS DE 10 SMLMV SIN APORTES</t>
  </si>
  <si>
    <t xml:space="preserve">   PAGOS POR SERVICIOS A PERSONAS NATURALES (MENOR COSTO)</t>
  </si>
  <si>
    <t>RECUPERA-</t>
  </si>
  <si>
    <t>CIÓN DE</t>
  </si>
  <si>
    <t>DEDUCCIONES</t>
  </si>
  <si>
    <t>DÍAS DE PERMA-NENCIA</t>
  </si>
  <si>
    <t xml:space="preserve">   PAGOS POR SERVICIOS A PERSONAS NATURALES (GASTOS ADMON)</t>
  </si>
  <si>
    <t>Impuesto de Industria y Comercio por pagar</t>
  </si>
  <si>
    <t>INGRESOS CONTABLES QUE NO SON FISCALES:</t>
  </si>
  <si>
    <t xml:space="preserve">   INGRESO CONTABLE POR MÉTODO DE PARTICIPACIÓN</t>
  </si>
  <si>
    <t xml:space="preserve">      Ganancia ocasional neta</t>
  </si>
  <si>
    <t>CÁLCULO DE INTERESES PRESUNTIVOS</t>
  </si>
  <si>
    <t>Descuento tributario procedente</t>
  </si>
  <si>
    <t>Ingresos no Constitutivos de Renta ni G.O.</t>
  </si>
  <si>
    <t>ANTICIPO PARA EL AÑO GRAVABLE SIGUIENTE</t>
  </si>
  <si>
    <t xml:space="preserve">   PAGO DE COMISIONES A PERSONAS NATURALES (GASTO ADMON)</t>
  </si>
  <si>
    <t>Efectivo y equivalentes de efectivo</t>
  </si>
  <si>
    <t>Propiedad, planta y equipo</t>
  </si>
  <si>
    <t>Dividendos y participaciones</t>
  </si>
  <si>
    <t>Diferencia en cambio por otros conceptos</t>
  </si>
  <si>
    <t>INTERESES NO DEDUCIBLES (E.T. ART. 118-1)</t>
  </si>
  <si>
    <t>ASISTENCIA TÉCNICA:</t>
  </si>
  <si>
    <t>EN CAMBIO</t>
  </si>
  <si>
    <t>OTROS GASTOS DEL EXTERIOR:</t>
  </si>
  <si>
    <t>TOTAL OTROS GASTOS DEL EXTERIOR</t>
  </si>
  <si>
    <t xml:space="preserve">   DIFERENCIA EN CAMBIO SOBRE DEUDAS CON EL EXTERIOR</t>
  </si>
  <si>
    <t>DETERMINACIÓN DEL PATRIMONIO FISCAL</t>
  </si>
  <si>
    <t>Terrenos - Medidos al costo atribuido</t>
  </si>
  <si>
    <t>Deterioro de inversiones</t>
  </si>
  <si>
    <t>Total costo de ventas</t>
  </si>
  <si>
    <t>Prestación de servicios</t>
  </si>
  <si>
    <t>Deudores - Clientes Nacionales</t>
  </si>
  <si>
    <t>Deudores - Clientes en el Exterior</t>
  </si>
  <si>
    <t>Impuestos por Pagar - Renta</t>
  </si>
  <si>
    <t>Autorretenciones por pagar - Renta</t>
  </si>
  <si>
    <t>DETALLE CONTABLE</t>
  </si>
  <si>
    <t>Inventario de materias primas</t>
  </si>
  <si>
    <t>CARTERA EN MONEDA EXTRANJERA</t>
  </si>
  <si>
    <t>No.</t>
  </si>
  <si>
    <t>FACTURA</t>
  </si>
  <si>
    <t>USD</t>
  </si>
  <si>
    <t>DIF. EN</t>
  </si>
  <si>
    <t>CAMBIO</t>
  </si>
  <si>
    <t>TRM</t>
  </si>
  <si>
    <t>DEL DIA</t>
  </si>
  <si>
    <t>PESOS</t>
  </si>
  <si>
    <t>CONCILIACION ENTRE LA UTILIDAD COMERCIAL Y LA RENTA GRAVABLE</t>
  </si>
  <si>
    <t>CONCILIACION ENTRE EL PATRIMONIO CONTABLE Y EL FISCAL</t>
  </si>
  <si>
    <t>Autorretenciones por cobrar - Renta</t>
  </si>
  <si>
    <t>Menos: Ajuste v/r neto de realización (deterioro)</t>
  </si>
  <si>
    <t>Inventarios</t>
  </si>
  <si>
    <t>Medidos al costo - Sociedades nacionales</t>
  </si>
  <si>
    <t>Medidos al costo - Sociedades en el exterior</t>
  </si>
  <si>
    <t>Muebles y Enseres - Costo histórico</t>
  </si>
  <si>
    <t>Maquinaria y Equipo - Costo histórico</t>
  </si>
  <si>
    <t>Servicios en el exterior</t>
  </si>
  <si>
    <t xml:space="preserve">     Por donaciones</t>
  </si>
  <si>
    <t>TASA DE</t>
  </si>
  <si>
    <t>Saldo a Dic. 31</t>
  </si>
  <si>
    <t>Inversiones temporales</t>
  </si>
  <si>
    <t>ANEXO 3</t>
  </si>
  <si>
    <t>TRM DIC. 31:</t>
  </si>
  <si>
    <t>TOTAL ACTIVO / PATRIMONIO BRUTO</t>
  </si>
  <si>
    <t>TOTAL PATRIMONIO / PATRIMONIO LIQUIDO</t>
  </si>
  <si>
    <t>Ingresos brutos de actividades ordinarias</t>
  </si>
  <si>
    <t>Ingresos Financieros</t>
  </si>
  <si>
    <t>Subtotal</t>
  </si>
  <si>
    <t>Otros Ingresos</t>
  </si>
  <si>
    <t>Gastos de Administración</t>
  </si>
  <si>
    <t>Subtotal gastos de administración</t>
  </si>
  <si>
    <t>Gastos Financieros</t>
  </si>
  <si>
    <t>Otros Gastos y Deducciones</t>
  </si>
  <si>
    <t>Subtotal Impuesto de Renta</t>
  </si>
  <si>
    <t>Descuento por impuestos pagados en el exterior por G O</t>
  </si>
  <si>
    <t>Descuento efectivo inversión obras por impuestos</t>
  </si>
  <si>
    <t>Menos: Anticipo renta liquidado año gravable anterior</t>
  </si>
  <si>
    <t>Saldo a favor año anterior sin solicitud de devolución o comp.</t>
  </si>
  <si>
    <t>Total retenciones año gravable a declarar</t>
  </si>
  <si>
    <t>Más: Anticipo renta para el año gravable siguiente</t>
  </si>
  <si>
    <t>IMPUESTO NETO DE RENTA AÑO ACTUAL</t>
  </si>
  <si>
    <t>IMPUESTO NETO DE RENTA AÑO ANTERIOR</t>
  </si>
  <si>
    <t>CALCULO DE LA RENTA GRAVABLE Y LAS GANANCIAS OCASIONALES</t>
  </si>
  <si>
    <t>CALCULO DEL IMPUESTO A CARGO Y EL VALOR A PAGAR</t>
  </si>
  <si>
    <t>Pagos a personas naturales sin seguridad social</t>
  </si>
  <si>
    <t>Deterioro de inventarios no fiscal</t>
  </si>
  <si>
    <t>DISTRIBUCIONES ANDINAS S.A.S.</t>
  </si>
  <si>
    <t>CANT.</t>
  </si>
  <si>
    <t>INVERSIONES EN SOCIEDADES</t>
  </si>
  <si>
    <t>HISTÓRICO</t>
  </si>
  <si>
    <t>TOTALES P P y Eq.</t>
  </si>
  <si>
    <t>EN LIBROS</t>
  </si>
  <si>
    <t>VALOR A</t>
  </si>
  <si>
    <r>
      <rPr>
        <b/>
        <sz val="9"/>
        <rFont val="Arial"/>
        <family val="2"/>
      </rPr>
      <t>(2)</t>
    </r>
    <r>
      <rPr>
        <sz val="9"/>
        <rFont val="Arial"/>
        <family val="2"/>
      </rPr>
      <t xml:space="preserve"> Precio de venta</t>
    </r>
  </si>
  <si>
    <t>TOTAL VEHÍCULOS</t>
  </si>
  <si>
    <t>BASE DE</t>
  </si>
  <si>
    <t>DEPREC.</t>
  </si>
  <si>
    <t>ANEXO 14</t>
  </si>
  <si>
    <t>ACTIVOS - CONTABLE</t>
  </si>
  <si>
    <t>ACTIVOS - FISCAL</t>
  </si>
  <si>
    <t>DEPRECIACION - CONTABLE</t>
  </si>
  <si>
    <t>DEPRECIACION - FISCAL</t>
  </si>
  <si>
    <t>EDIFICACIONES</t>
  </si>
  <si>
    <t>TOTAL EDIFICACIONES</t>
  </si>
  <si>
    <t>EDIFICACIONES (70 años)</t>
  </si>
  <si>
    <t>MUEBLES Y ENSERES (10 años)</t>
  </si>
  <si>
    <t>MAQUINARIA Y EQ. (15 años)</t>
  </si>
  <si>
    <t>ANEXO 8</t>
  </si>
  <si>
    <t>NOTA</t>
  </si>
  <si>
    <t>TOTAL PRÉSTAMOS</t>
  </si>
  <si>
    <t>INTERÉS</t>
  </si>
  <si>
    <t>PRESUNTO</t>
  </si>
  <si>
    <t>Impuesto en Colombia sobre estas rentas</t>
  </si>
  <si>
    <t>Subtotal otros gastos y deducciones</t>
  </si>
  <si>
    <t>CÁLCULO DE LA RENTA GRAVABLE Y LAS GANANCIAS OCASIONALES</t>
  </si>
  <si>
    <t>DEPRECIACIÒN</t>
  </si>
  <si>
    <t>VENTAS DE PROPIEDADES, PLANTA Y EQUIPO</t>
  </si>
  <si>
    <t>DEDUCCIÓN POR GASTOS EN EL EXTERIOR</t>
  </si>
  <si>
    <t>CÁLCULO DEL ANTICIPO PARA EL AÑO SIGUIENTE</t>
  </si>
  <si>
    <t>Subtotal gastos financieros</t>
  </si>
  <si>
    <t>Diferencia en cambio sobre cuentas por cobrar</t>
  </si>
  <si>
    <t>Diferencia en cambio instrumentos financieros</t>
  </si>
  <si>
    <t>Ajuste al valor razonable de inversiones</t>
  </si>
  <si>
    <t xml:space="preserve">   AJUSTE AL VALOR RAZONABLE DE INVERSIONES EN SOCIEDADES</t>
  </si>
  <si>
    <t>MAYOR VALOR DE INSTRUMENTOS FINANCIEROS EN MONEDA EXTRANJERA</t>
  </si>
  <si>
    <t>Inversiones en instrumentos de patrimonio</t>
  </si>
  <si>
    <t>Medidos al valor razonable</t>
  </si>
  <si>
    <t>Total inversiones</t>
  </si>
  <si>
    <t>AJUSTE AL VALOR RAZONABLE DE INVERSIONES EN SOCIEDADES</t>
  </si>
  <si>
    <t>MAYOR VALOR CONTABLE DE INVERSIONES, POR MÉTODO DE PARTICIPACIÓN</t>
  </si>
  <si>
    <t>DIFERENCIA EN CAMBIO NO FISCAL - DEUDORES DEL EXTERIOR</t>
  </si>
  <si>
    <t>DETERIORO DE INVENTARIOS NO FISCAL</t>
  </si>
  <si>
    <t>MAYOR VALOR CONTABLE DE TERRENOS</t>
  </si>
  <si>
    <t>MAYOR COSTO FISCAL DE EDIFICACIONES</t>
  </si>
  <si>
    <t>REAJUSTES FISCALES DE MAQUINARIA</t>
  </si>
  <si>
    <t>PASIVO POR IMPUESTO DE RENTA - AJUSTADO</t>
  </si>
  <si>
    <t xml:space="preserve">   DETERIORO DE INVENTARIOS NO FISCAL</t>
  </si>
  <si>
    <t xml:space="preserve">   GASTO CONTABLE POR DONACIONES</t>
  </si>
  <si>
    <t xml:space="preserve">   RECUPERACION PROVISION DEMANDAS</t>
  </si>
  <si>
    <t>INGRESOS NO CONSTITUTIVOS DE RENTA NI G.O.:</t>
  </si>
  <si>
    <t>Edificaciones - Medidas al costo histórico</t>
  </si>
  <si>
    <t>MAYOR VALOR FISCAL DE LA DEPRECIACIÓN</t>
  </si>
  <si>
    <t>DEPRECIACIÒN CONTABLE Y FISCAL</t>
  </si>
  <si>
    <t>COMPENSACIÓN DE PÉRDIDAS FISCALES Y EXCESOS DE PRESUNTIVA</t>
  </si>
  <si>
    <t>Impuesto diferido activo</t>
  </si>
  <si>
    <t>Impuesto diferido pasivo</t>
  </si>
  <si>
    <t>Renta pasiva ECE sin residencia fiscal en Colombia</t>
  </si>
  <si>
    <t>Subtotal Ingresos no Constitutivos de Renta</t>
  </si>
  <si>
    <t>Inversiones en asociadas - Nacionales</t>
  </si>
  <si>
    <t>Equipo de transporte - Costo histórico</t>
  </si>
  <si>
    <t>Inversiones e instrumentos financieros derivados</t>
  </si>
  <si>
    <t xml:space="preserve">     de dos años (E.T. Art. 300).</t>
  </si>
  <si>
    <t xml:space="preserve">      Esta venta se clasifica como ganancia ocasional, porque la inversión se tuvo más</t>
  </si>
  <si>
    <t xml:space="preserve">   UTILIDAD FISCAL EN VENTA DE INVERSIONES - NO GRAVADA</t>
  </si>
  <si>
    <t>REAJUSTES FISCALES ACUMULADOS INVERSIONES EN SOCIEDADES</t>
  </si>
  <si>
    <t>Otros diversos</t>
  </si>
  <si>
    <t>MÁS DE</t>
  </si>
  <si>
    <t>100 UVT</t>
  </si>
  <si>
    <t>MENOS DE</t>
  </si>
  <si>
    <t>DETALLE DE PAGOS EN EFECTIVO</t>
  </si>
  <si>
    <t>Compras de materias primas</t>
  </si>
  <si>
    <t>Total gastos pagados en efectivo</t>
  </si>
  <si>
    <t>Materias primas pagadas en efectivo</t>
  </si>
  <si>
    <t>Totales</t>
  </si>
  <si>
    <t>1) Total de pagos en el año</t>
  </si>
  <si>
    <t xml:space="preserve">   GASTOS PAGADOS EN EFECTIVO</t>
  </si>
  <si>
    <t>Ene 1</t>
  </si>
  <si>
    <t>Abr 15</t>
  </si>
  <si>
    <t>Abr 16</t>
  </si>
  <si>
    <t>Ago 9</t>
  </si>
  <si>
    <t>Dic 20</t>
  </si>
  <si>
    <t>Dic 29</t>
  </si>
  <si>
    <t>Dic 19</t>
  </si>
  <si>
    <t>Mar 20</t>
  </si>
  <si>
    <r>
      <t xml:space="preserve">Banco de Occidente  </t>
    </r>
    <r>
      <rPr>
        <b/>
        <sz val="9"/>
        <color rgb="FFFF0000"/>
        <rFont val="Arial"/>
        <family val="2"/>
      </rPr>
      <t>(1)</t>
    </r>
  </si>
  <si>
    <r>
      <t xml:space="preserve">Inversiones El Rubí  </t>
    </r>
    <r>
      <rPr>
        <b/>
        <sz val="9"/>
        <color rgb="FFFF0000"/>
        <rFont val="Arial"/>
        <family val="2"/>
      </rPr>
      <t>(1)</t>
    </r>
  </si>
  <si>
    <r>
      <t xml:space="preserve">  </t>
    </r>
    <r>
      <rPr>
        <b/>
        <sz val="9"/>
        <color rgb="FFFF0000"/>
        <rFont val="Arial"/>
        <family val="2"/>
      </rPr>
      <t>(1)</t>
    </r>
    <r>
      <rPr>
        <sz val="9"/>
        <rFont val="Arial"/>
        <family val="2"/>
      </rPr>
      <t xml:space="preserve">  Deudas contraídas directa o indirectamente con vinculados económicos.</t>
    </r>
  </si>
  <si>
    <r>
      <t xml:space="preserve">  </t>
    </r>
    <r>
      <rPr>
        <b/>
        <sz val="9"/>
        <color rgb="FFFF0000"/>
        <rFont val="Arial"/>
        <family val="2"/>
      </rPr>
      <t>(2)</t>
    </r>
    <r>
      <rPr>
        <sz val="9"/>
        <rFont val="Arial"/>
        <family val="2"/>
      </rPr>
      <t xml:space="preserve">  Se tiene el certificado en el que consta que es endeudamiento con no vinculados.</t>
    </r>
  </si>
  <si>
    <r>
      <t xml:space="preserve">Bancolombia  </t>
    </r>
    <r>
      <rPr>
        <b/>
        <sz val="9"/>
        <color rgb="FFFF0000"/>
        <rFont val="Arial"/>
        <family val="2"/>
      </rPr>
      <t>(2)</t>
    </r>
  </si>
  <si>
    <t>Jul 25</t>
  </si>
  <si>
    <t>Servicios públicos</t>
  </si>
  <si>
    <t>Renta por recuperación de deducciones</t>
  </si>
  <si>
    <t>Renta líquida</t>
  </si>
  <si>
    <t>Pérdida líquida del ejercicio</t>
  </si>
  <si>
    <t>RENTA LIQUIDA GRAVABLE</t>
  </si>
  <si>
    <t>REN-</t>
  </si>
  <si>
    <t>GLÓN</t>
  </si>
  <si>
    <t>FORMUL</t>
  </si>
  <si>
    <t>Total impuesto sobre las rentas líquidas gravables</t>
  </si>
  <si>
    <t>Poseídas todo el año - Histórico</t>
  </si>
  <si>
    <t>Distribución de dividendos</t>
  </si>
  <si>
    <t>Utilidades por M. de Participación</t>
  </si>
  <si>
    <r>
      <rPr>
        <b/>
        <sz val="9"/>
        <color rgb="FFFF0000"/>
        <rFont val="Arial"/>
        <family val="2"/>
      </rPr>
      <t>(*)</t>
    </r>
    <r>
      <rPr>
        <sz val="9"/>
        <rFont val="Arial"/>
        <family val="2"/>
      </rPr>
      <t xml:space="preserve"> Valor mínimo de venta: El valor intrínseco de $50 más un 30% = $65. (E.T. Art. 90).</t>
    </r>
  </si>
  <si>
    <t>INGRESO</t>
  </si>
  <si>
    <t>RET. FTE.</t>
  </si>
  <si>
    <t>SOCIEDAD</t>
  </si>
  <si>
    <t>Dividendos y particip. no constitutivos de renta</t>
  </si>
  <si>
    <t>Distribución en efectivo (M. Participación)</t>
  </si>
  <si>
    <t>NO CONST.</t>
  </si>
  <si>
    <t>DE RENTA</t>
  </si>
  <si>
    <t>DESCUENTO TRIB POR IVA EN AFRP - ELIMINACIÓN SALDO CONTABLE</t>
  </si>
  <si>
    <t>Impuesto neto de renta del año anterior</t>
  </si>
  <si>
    <t>Impuesto neto de renta del año actual</t>
  </si>
  <si>
    <t>Aumento</t>
  </si>
  <si>
    <t>Análisis del beneficio de auditoría:</t>
  </si>
  <si>
    <t>Nov 3</t>
  </si>
  <si>
    <t>VEHICULOS (8 años)</t>
  </si>
  <si>
    <t>Adquirido en Abril</t>
  </si>
  <si>
    <t xml:space="preserve">     Impuestos pagados en el exterior</t>
  </si>
  <si>
    <t>Dividendos en efectivo - No const.  Renta</t>
  </si>
  <si>
    <t>Dividendos en efectivo - Gravados</t>
  </si>
  <si>
    <t>Impuesto de vehículos</t>
  </si>
  <si>
    <t xml:space="preserve">   IMPUESTOS SIN RELACIÓN DE CAUSALIDAD</t>
  </si>
  <si>
    <t>Utilidad en venta de acciones</t>
  </si>
  <si>
    <t>Deterioro</t>
  </si>
  <si>
    <t>Año gravable 2020</t>
  </si>
  <si>
    <r>
      <t xml:space="preserve">  </t>
    </r>
    <r>
      <rPr>
        <b/>
        <sz val="9"/>
        <color rgb="FFFF0000"/>
        <rFont val="Arial"/>
        <family val="2"/>
      </rPr>
      <t>(3)</t>
    </r>
    <r>
      <rPr>
        <sz val="9"/>
        <rFont val="Arial"/>
        <family val="2"/>
      </rPr>
      <t xml:space="preserve">  Ley 361 de 1997 Art. 31: Deducción del 200% del valor de los salarios y prestaciones</t>
    </r>
  </si>
  <si>
    <t>2) Total de costos y deducciones</t>
  </si>
  <si>
    <t xml:space="preserve">     40%</t>
  </si>
  <si>
    <t>Utilidad en venta de propiedad, planta y equipo</t>
  </si>
  <si>
    <t>La declaración quedará en firme en:</t>
  </si>
  <si>
    <t>Crédito fiscal Artículo 256-1 E.T.</t>
  </si>
  <si>
    <t>SALDO A PAGAR POR IMPUESTO</t>
  </si>
  <si>
    <t>TOTAL SALDO A PAGAR</t>
  </si>
  <si>
    <t xml:space="preserve">      Menos: Recuperación de deducciones (E.T. Arts. 195 y 196)</t>
  </si>
  <si>
    <t xml:space="preserve">     Por IVA en compra de AFRP (Dec. 1089 de 2020)</t>
  </si>
  <si>
    <t>Deducción adicional por contratar menores de 28 años</t>
  </si>
  <si>
    <t>(4)</t>
  </si>
  <si>
    <t xml:space="preserve">         la declaración de renta.</t>
  </si>
  <si>
    <r>
      <t xml:space="preserve">Banco Davivienda  </t>
    </r>
    <r>
      <rPr>
        <b/>
        <sz val="9"/>
        <color rgb="FFFF0000"/>
        <rFont val="Arial"/>
        <family val="2"/>
      </rPr>
      <t>(2)</t>
    </r>
  </si>
  <si>
    <t>Oct 15</t>
  </si>
  <si>
    <t>Dic 31</t>
  </si>
  <si>
    <r>
      <t xml:space="preserve">      </t>
    </r>
    <r>
      <rPr>
        <b/>
        <sz val="9"/>
        <color rgb="FFFF0000"/>
        <rFont val="Arial"/>
        <family val="2"/>
      </rPr>
      <t xml:space="preserve"> (1)</t>
    </r>
    <r>
      <rPr>
        <sz val="9"/>
        <rFont val="Arial"/>
        <family val="2"/>
      </rPr>
      <t xml:space="preserve">  No se debe efectuar retención en la fuente, y están limitados al 15% de la renta líquida antes de la deducción.</t>
    </r>
  </si>
  <si>
    <r>
      <t xml:space="preserve">  </t>
    </r>
    <r>
      <rPr>
        <b/>
        <sz val="9"/>
        <color rgb="FFFF0000"/>
        <rFont val="Arial"/>
        <family val="2"/>
      </rPr>
      <t>(2)</t>
    </r>
    <r>
      <rPr>
        <sz val="9"/>
        <rFont val="Arial"/>
        <family val="2"/>
      </rPr>
      <t xml:space="preserve">  E.T. Artículos 108 y 664. Solución: Pagar los aportes adeudados antes de presentar</t>
    </r>
  </si>
  <si>
    <t>Costo reajustado</t>
  </si>
  <si>
    <t>TOTAL CARTERA</t>
  </si>
  <si>
    <t>Año gravable 2021</t>
  </si>
  <si>
    <t xml:space="preserve">     35%</t>
  </si>
  <si>
    <t>3) 40.000 UVT</t>
  </si>
  <si>
    <t>Dicbre 2015</t>
  </si>
  <si>
    <t>Poseído desde antes de 2016</t>
  </si>
  <si>
    <r>
      <t xml:space="preserve"> 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(1)</t>
    </r>
    <r>
      <rPr>
        <sz val="9"/>
        <rFont val="Arial"/>
        <family val="2"/>
      </rPr>
      <t xml:space="preserve">  E.T. Artículo 87-1.</t>
    </r>
  </si>
  <si>
    <r>
      <t xml:space="preserve"> 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(4)</t>
    </r>
    <r>
      <rPr>
        <sz val="9"/>
        <rFont val="Arial"/>
        <family val="2"/>
      </rPr>
      <t xml:space="preserve">  E.T. Artículo 108-5: Deducción del 120%</t>
    </r>
  </si>
  <si>
    <t xml:space="preserve">         sociales sociales pagados a trabajadores con limitación no inferior al 25%</t>
  </si>
  <si>
    <t>Impuesto de alumbrado público</t>
  </si>
  <si>
    <t>NÚMERO</t>
  </si>
  <si>
    <t xml:space="preserve">       renta gravable ni ganancia ocasional, siempre que la negociación se realice por la vía de la enajenación voluntaria</t>
  </si>
  <si>
    <t xml:space="preserve">       El ingreso obtenido por la enajenación de inmuebles, en casos de expropiación por vía administrativa, no constituye</t>
  </si>
  <si>
    <t xml:space="preserve">       (Ley 388 de 1997 Art. 67 Parágrafo 2 / Oficio DIAN 021714 de 2015).</t>
  </si>
  <si>
    <t xml:space="preserve">       Por lo tanto, no es deducible la pérdida en venta de estos bienes. (Artículo 90 del E.T.)</t>
  </si>
  <si>
    <r>
      <rPr>
        <b/>
        <sz val="9"/>
        <rFont val="Arial"/>
        <family val="2"/>
      </rPr>
      <t>(1)</t>
    </r>
    <r>
      <rPr>
        <sz val="9"/>
        <rFont val="Arial"/>
        <family val="2"/>
      </rPr>
      <t xml:space="preserve">  En la enajenación de bienes raíces no se acepta un precio inferior al costo, al avalúo catastral ni al autoavalúo.</t>
    </r>
  </si>
  <si>
    <t>Año gravable 2022</t>
  </si>
  <si>
    <t>Dividendos y p. gravados a la tarifa general</t>
  </si>
  <si>
    <t>Total costos y gastos deducibles</t>
  </si>
  <si>
    <t>Impuesto sobre la renta líquida gravable (35%)</t>
  </si>
  <si>
    <t>Valor a adicionar (VAA)</t>
  </si>
  <si>
    <t>Impuesto neto de renta (sin impuesto adicionado)</t>
  </si>
  <si>
    <t>Impuesto neto de renta (con impuesto adicionado)</t>
  </si>
  <si>
    <t>Impuesto a adicionar (IA)</t>
  </si>
  <si>
    <t>Inversión obras por impuestos hasta 50% de casilla 99</t>
  </si>
  <si>
    <t>Menos: Anticipo puntos adicionales año gravable anterior</t>
  </si>
  <si>
    <t>Más: Anticipo puntos adicionales año gravable siguiente</t>
  </si>
  <si>
    <t>DIFERENCIA EN CAMBIO NO FISCAL - INSTRUMENTOS FINANCIEROS</t>
  </si>
  <si>
    <t xml:space="preserve">   DIF.EN CAMBIO INSTRUMENTOS FINANCIEROS NO REALIZADA</t>
  </si>
  <si>
    <t xml:space="preserve">   DIF. EN CAMBIO SOBRE CARTERA, REALIZADA EN EL AÑO</t>
  </si>
  <si>
    <t>Pérdidas en valor razonable de prop de inversión</t>
  </si>
  <si>
    <t>Gastos por intereses con vinculados</t>
  </si>
  <si>
    <t>Año gravable 2023</t>
  </si>
  <si>
    <t xml:space="preserve">   E.T. Artículo 771-5.  Oficios DIAN No. 0935 (19439) y 1275 de Julio de 2018.</t>
  </si>
  <si>
    <t xml:space="preserve"> 31-12-23</t>
  </si>
  <si>
    <t>PATRIMONIO CONTABLE AL 31-12-23</t>
  </si>
  <si>
    <t>CDT en dólares:</t>
  </si>
  <si>
    <t>Inversión inicial</t>
  </si>
  <si>
    <t>Intereses capitalizados</t>
  </si>
  <si>
    <t>Total diferencia en cambio</t>
  </si>
  <si>
    <t>Intereses CDT en Dólares</t>
  </si>
  <si>
    <t>Máquina adquirida en mayo</t>
  </si>
  <si>
    <t>Vehículo adquirido en abril</t>
  </si>
  <si>
    <t>DESCTO AÑO</t>
  </si>
  <si>
    <t>AÑOS SIGTES</t>
  </si>
  <si>
    <r>
      <t xml:space="preserve">IVA en AFRP </t>
    </r>
    <r>
      <rPr>
        <b/>
        <sz val="9"/>
        <color rgb="FFFF0000"/>
        <rFont val="Arial"/>
        <family val="2"/>
      </rPr>
      <t xml:space="preserve"> ( * )</t>
    </r>
  </si>
  <si>
    <t>Sometida a retención en la fuente</t>
  </si>
  <si>
    <t>No sometida a retención en la fuente</t>
  </si>
  <si>
    <t>Total asistencia técnica</t>
  </si>
  <si>
    <t>Seminarios, restaurantes, hoteles, transporte</t>
  </si>
  <si>
    <t>Regalías a casa matriz</t>
  </si>
  <si>
    <t>Servicios de publicidad</t>
  </si>
  <si>
    <t>Menos: Depreciación Acumulada</t>
  </si>
  <si>
    <t>Ajuste al valor razonable de prop de inversión</t>
  </si>
  <si>
    <t>BANCO DE OCCIDENTE S.A.</t>
  </si>
  <si>
    <t>PROPIEDADES, PLANTA Y EQUIPO Y PROPIEDADES DE INVERSIÓN</t>
  </si>
  <si>
    <r>
      <rPr>
        <b/>
        <sz val="9"/>
        <color rgb="FFFF0000"/>
        <rFont val="Arial"/>
        <family val="2"/>
      </rPr>
      <t>( * )</t>
    </r>
    <r>
      <rPr>
        <sz val="9"/>
        <rFont val="Arial"/>
        <family val="2"/>
      </rPr>
      <t xml:space="preserve">  Definición de "activo fijo real productivo": DUR 1625 de 2016 Art. 1.2.1.27.1 / Sentencia C.E. No. 25688 de 2023.</t>
    </r>
  </si>
  <si>
    <t xml:space="preserve">         El descuento tributario sí se puede fraccionar. Sentencia C.E. No. 26344, 26704 y 27421, de septiembre de 2023.</t>
  </si>
  <si>
    <t>Gastos intereses deducibles</t>
  </si>
  <si>
    <t xml:space="preserve">   Sentencia CE 26676 de Julio 19 de 2023: Anula los conceptos de la DIAN.</t>
  </si>
  <si>
    <t xml:space="preserve">   Conceptos DIAN No. 365 y 176 de 2023: Depósitos de bajo monto y depósitos ordinarios.</t>
  </si>
  <si>
    <t xml:space="preserve">              Colombia (E.T. Art. 120). No son deducibles los gastos financieros, incluida la diferencia en cambio (E.T. Art. 124-1).</t>
  </si>
  <si>
    <t xml:space="preserve">   AJUSTE AL VALOR RAZONABLE DE PROPIEDADES DE INVERSIÓN</t>
  </si>
  <si>
    <t xml:space="preserve">   DEDUCCIÓN ESPECIAL POR PERSONAL DISCAPACITADO Y JÓVENES</t>
  </si>
  <si>
    <t>UTILIDAD NETA / RENTA LIQUIDA ORDINARIA</t>
  </si>
  <si>
    <t>Concepto</t>
  </si>
  <si>
    <t>Parcial</t>
  </si>
  <si>
    <t>Valor Total</t>
  </si>
  <si>
    <t>Utilidad contable antes de impuestos</t>
  </si>
  <si>
    <t>Utilidad depurada (UD):</t>
  </si>
  <si>
    <t>( + )</t>
  </si>
  <si>
    <t>Diferencias permanentes que aumentan la renta líquida</t>
  </si>
  <si>
    <t>( - )</t>
  </si>
  <si>
    <t>Ingresos por método de participación patrimonial</t>
  </si>
  <si>
    <t>TTD =</t>
  </si>
  <si>
    <t>Impuesto depurado (ID)</t>
  </si>
  <si>
    <t>=</t>
  </si>
  <si>
    <t>Utilidad depurada (UD)</t>
  </si>
  <si>
    <t>Impuesto a adicionar</t>
  </si>
  <si>
    <t>TARIFA EFECTIVA DE TRIBUTACIÓN</t>
  </si>
  <si>
    <t>Descuento tributario por impuestos pagados en el exterior</t>
  </si>
  <si>
    <t>Impuesto por rentas pasivas provenientes de ECE</t>
  </si>
  <si>
    <r>
      <t xml:space="preserve">Ingresos no constitutivos de renta </t>
    </r>
    <r>
      <rPr>
        <sz val="9"/>
        <color rgb="FFFF0000"/>
        <rFont val="Arial"/>
        <family val="2"/>
      </rPr>
      <t>contabilizados</t>
    </r>
    <r>
      <rPr>
        <sz val="9"/>
        <color theme="1"/>
        <rFont val="Arial"/>
        <family val="2"/>
      </rPr>
      <t xml:space="preserve"> - Dividendos</t>
    </r>
  </si>
  <si>
    <r>
      <t xml:space="preserve">Valor neto de ingresos por G.O. </t>
    </r>
    <r>
      <rPr>
        <sz val="9"/>
        <color rgb="FFFF0000"/>
        <rFont val="Arial"/>
        <family val="2"/>
      </rPr>
      <t>que afectan la utilidad contable</t>
    </r>
  </si>
  <si>
    <t>Impuesto Depurado (ID):</t>
  </si>
  <si>
    <t>Utilidad contable en venta de acciones</t>
  </si>
  <si>
    <t>Utilidad contable en venta de propiedades, planta y equipo</t>
  </si>
  <si>
    <t>1. Cálculo del Impuesto Depurado (ID):</t>
  </si>
  <si>
    <t>2. Cálculo de la Utilidad Depurada (UD):</t>
  </si>
  <si>
    <t>De pérdidas fiscales</t>
  </si>
  <si>
    <t>Compensaciones que no afectan la utilidad contable</t>
  </si>
  <si>
    <t>De excesos de renta presuntiva sobre renta ordinaria</t>
  </si>
  <si>
    <t>TEMPORARIAS</t>
  </si>
  <si>
    <t>PERMANENTES</t>
  </si>
  <si>
    <t xml:space="preserve">   DIFERENCIA EN CAMBIO SOBRE CARTERA EN DÓLARES NO REALIZADA</t>
  </si>
  <si>
    <t>RENTA LÍQUIDA DEL EJERCICIO</t>
  </si>
  <si>
    <t>MÁS: RENTA LÍQUIDA POR RECUPERACIÓN DE DEDUCCIONES</t>
  </si>
  <si>
    <t>3. Cálculo de la Tarifa de Tributación Depurada (TTD):</t>
  </si>
  <si>
    <t>ANEXO 18</t>
  </si>
  <si>
    <t>EL EXPERTO S.A.S.</t>
  </si>
  <si>
    <t>NIT 890.378.233 - 1</t>
  </si>
  <si>
    <t>DECLARACION DE RENTA AÑO GRAVABLE 2024</t>
  </si>
  <si>
    <t>Año gravable 2024</t>
  </si>
  <si>
    <t xml:space="preserve"> 31-12-24</t>
  </si>
  <si>
    <t>el año 2024 el rendimiento presuntivo es del</t>
  </si>
  <si>
    <t>socios, generan un interés presuntivo. De acuerdo con el Decreto 1006 de 2024, artículo 1, para</t>
  </si>
  <si>
    <t>Vendidas en Enero</t>
  </si>
  <si>
    <t xml:space="preserve"> (**)</t>
  </si>
  <si>
    <t xml:space="preserve">        circulación de la compañía: Utilidad no gravada (E.T. Art. 36-1)</t>
  </si>
  <si>
    <t xml:space="preserve">        Acciones poseidas por menos de dos años: La utilidad se</t>
  </si>
  <si>
    <t xml:space="preserve">        clasifica como renta ordinaria (E.T. Art. 300).</t>
  </si>
  <si>
    <t>VENTA DE ACCIONES - BANCO DE OCCIDENTE</t>
  </si>
  <si>
    <t>Ajuste al vr razonable - Vendidas</t>
  </si>
  <si>
    <t>Ajuste al vr razonable - No vendidas</t>
  </si>
  <si>
    <t>Costo fiscal en venta de acciones</t>
  </si>
  <si>
    <t>VALOR DE LA UVT</t>
  </si>
  <si>
    <t>Año 2024</t>
  </si>
  <si>
    <t>Año 2025</t>
  </si>
  <si>
    <t>Comisiones sobre ventas al exterior</t>
  </si>
  <si>
    <r>
      <t xml:space="preserve">      </t>
    </r>
    <r>
      <rPr>
        <b/>
        <sz val="9"/>
        <color rgb="FFFF0000"/>
        <rFont val="Arial"/>
        <family val="2"/>
      </rPr>
      <t xml:space="preserve"> (3)</t>
    </r>
    <r>
      <rPr>
        <sz val="9"/>
        <rFont val="Arial"/>
        <family val="2"/>
      </rPr>
      <t xml:space="preserve">  No son deducibles las regalías sobre compra de productos terminados, ni las regalías sobre intangibles formados en</t>
    </r>
  </si>
  <si>
    <r>
      <t xml:space="preserve">      </t>
    </r>
    <r>
      <rPr>
        <b/>
        <sz val="9"/>
        <color rgb="FFFF0000"/>
        <rFont val="Arial"/>
        <family val="2"/>
      </rPr>
      <t xml:space="preserve"> (2)</t>
    </r>
    <r>
      <rPr>
        <sz val="9"/>
        <rFont val="Arial"/>
        <family val="2"/>
      </rPr>
      <t xml:space="preserve">  Sometido a retención en la fuente del 10%.</t>
    </r>
  </si>
  <si>
    <t xml:space="preserve">   GASTOS PAGADOS AL EXTERIOR SIN RETENCIÓN EN LA FUENTE</t>
  </si>
  <si>
    <t>Marzo 2014</t>
  </si>
  <si>
    <t>Adquirido en Agosto 2023</t>
  </si>
  <si>
    <t>Anticipos de impuestos - Descuento IVA AFRP</t>
  </si>
  <si>
    <t>MAYOR VALOR DE INGRESOS FISCALES</t>
  </si>
  <si>
    <t xml:space="preserve">   PRECIO DE VENTA DE INVERSIONES</t>
  </si>
  <si>
    <t xml:space="preserve">   INTERESES PRESUNTIVOS POR CXC A SOCIOS</t>
  </si>
  <si>
    <t xml:space="preserve">   INGRESO FISCAL POR DIVIDENDOS EN MÉTODO DE PARTICIPACIÓN</t>
  </si>
  <si>
    <t>LABORATORIO AMÉRICA S.A.S.</t>
  </si>
  <si>
    <t>VENTA DE ACCIONES - LABORATORIO AMÉRICA S.A.S.</t>
  </si>
  <si>
    <t>PORCENTAJES DE REAJUSTES FISCALES</t>
  </si>
  <si>
    <r>
      <rPr>
        <b/>
        <sz val="9"/>
        <color rgb="FFFF0000"/>
        <rFont val="Arial"/>
        <family val="2"/>
      </rPr>
      <t xml:space="preserve">(**) </t>
    </r>
    <r>
      <rPr>
        <sz val="9"/>
        <rFont val="Arial"/>
        <family val="2"/>
      </rPr>
      <t>Las acciones vendidas no superan el 3% de las acciones en</t>
    </r>
  </si>
  <si>
    <t>Caja y Bancos</t>
  </si>
  <si>
    <t>INVERSIONES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</si>
</sst>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;[Red]\(#,##0\)"/>
    <numFmt numFmtId="167" formatCode="_ [$€-2]\ * #,##0.00_ ;_ [$€-2]\ * \-#,##0.00_ ;_ [$€-2]\ * &quot;-&quot;??_ "/>
    <numFmt numFmtId="168" formatCode="0.0%"/>
    <numFmt numFmtId="169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9"/>
      <color indexed="12"/>
      <name val="Helv"/>
    </font>
    <font>
      <sz val="8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rgb="FFFF0000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EFA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2">
    <xf numFmtId="0" fontId="0" fillId="0" borderId="0" xfId="0"/>
    <xf numFmtId="0" fontId="9" fillId="0" borderId="0" xfId="0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37" fontId="8" fillId="0" borderId="0" xfId="0" applyNumberFormat="1" applyFont="1" applyProtection="1">
      <protection locked="0"/>
    </xf>
    <xf numFmtId="37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Protection="1">
      <protection locked="0"/>
    </xf>
    <xf numFmtId="166" fontId="9" fillId="0" borderId="0" xfId="0" applyNumberFormat="1" applyFont="1" applyProtection="1">
      <protection locked="0"/>
    </xf>
    <xf numFmtId="38" fontId="8" fillId="0" borderId="0" xfId="0" applyNumberFormat="1" applyFont="1" applyProtection="1">
      <protection locked="0"/>
    </xf>
    <xf numFmtId="3" fontId="9" fillId="0" borderId="0" xfId="0" applyNumberFormat="1" applyFont="1" applyProtection="1">
      <protection locked="0"/>
    </xf>
    <xf numFmtId="38" fontId="9" fillId="0" borderId="0" xfId="0" applyNumberFormat="1" applyFont="1" applyAlignment="1" applyProtection="1">
      <alignment horizontal="center"/>
      <protection locked="0"/>
    </xf>
    <xf numFmtId="38" fontId="8" fillId="0" borderId="0" xfId="0" applyNumberFormat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right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6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Protection="1"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4" borderId="39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3" fillId="0" borderId="27" xfId="0" applyFont="1" applyBorder="1"/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3" fillId="0" borderId="1" xfId="0" applyFont="1" applyBorder="1"/>
    <xf numFmtId="10" fontId="4" fillId="0" borderId="27" xfId="8" applyNumberFormat="1" applyFont="1" applyBorder="1" applyAlignment="1" applyProtection="1">
      <alignment horizontal="center"/>
    </xf>
    <xf numFmtId="10" fontId="3" fillId="0" borderId="27" xfId="8" applyNumberFormat="1" applyFont="1" applyBorder="1" applyAlignment="1" applyProtection="1">
      <alignment horizontal="center"/>
    </xf>
    <xf numFmtId="0" fontId="4" fillId="0" borderId="3" xfId="0" applyFont="1" applyBorder="1"/>
    <xf numFmtId="0" fontId="5" fillId="4" borderId="56" xfId="0" applyFont="1" applyFill="1" applyBorder="1" applyAlignment="1">
      <alignment horizontal="center"/>
    </xf>
    <xf numFmtId="3" fontId="4" fillId="0" borderId="39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38" fontId="8" fillId="0" borderId="0" xfId="0" applyNumberFormat="1" applyFont="1" applyAlignment="1">
      <alignment horizontal="centerContinuous"/>
    </xf>
    <xf numFmtId="0" fontId="9" fillId="0" borderId="0" xfId="0" quotePrefix="1" applyFont="1" applyAlignment="1">
      <alignment horizontal="left"/>
    </xf>
    <xf numFmtId="38" fontId="9" fillId="0" borderId="22" xfId="0" applyNumberFormat="1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38" fontId="9" fillId="0" borderId="5" xfId="0" applyNumberFormat="1" applyFont="1" applyBorder="1" applyAlignment="1">
      <alignment horizontal="centerContinuous"/>
    </xf>
    <xf numFmtId="0" fontId="9" fillId="0" borderId="15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/>
    </xf>
    <xf numFmtId="0" fontId="9" fillId="0" borderId="5" xfId="0" applyFont="1" applyBorder="1" applyAlignment="1">
      <alignment horizontal="center"/>
    </xf>
    <xf numFmtId="38" fontId="9" fillId="0" borderId="12" xfId="0" applyNumberFormat="1" applyFont="1" applyBorder="1" applyAlignment="1">
      <alignment horizontal="centerContinuous"/>
    </xf>
    <xf numFmtId="0" fontId="9" fillId="0" borderId="26" xfId="0" quotePrefix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left"/>
    </xf>
    <xf numFmtId="37" fontId="8" fillId="0" borderId="10" xfId="0" applyNumberFormat="1" applyFont="1" applyBorder="1"/>
    <xf numFmtId="3" fontId="8" fillId="0" borderId="0" xfId="0" applyNumberFormat="1" applyFont="1"/>
    <xf numFmtId="37" fontId="8" fillId="0" borderId="0" xfId="0" applyNumberFormat="1" applyFont="1"/>
    <xf numFmtId="0" fontId="11" fillId="0" borderId="0" xfId="0" applyFont="1" applyAlignment="1">
      <alignment horizontal="left"/>
    </xf>
    <xf numFmtId="3" fontId="8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37" fontId="8" fillId="0" borderId="35" xfId="0" applyNumberFormat="1" applyFont="1" applyBorder="1"/>
    <xf numFmtId="3" fontId="8" fillId="0" borderId="0" xfId="0" applyNumberFormat="1" applyFont="1" applyAlignment="1">
      <alignment horizontal="center"/>
    </xf>
    <xf numFmtId="37" fontId="8" fillId="0" borderId="25" xfId="0" applyNumberFormat="1" applyFont="1" applyBorder="1"/>
    <xf numFmtId="3" fontId="9" fillId="0" borderId="16" xfId="0" applyNumberFormat="1" applyFont="1" applyBorder="1"/>
    <xf numFmtId="3" fontId="9" fillId="0" borderId="10" xfId="0" applyNumberFormat="1" applyFont="1" applyBorder="1"/>
    <xf numFmtId="166" fontId="8" fillId="0" borderId="0" xfId="0" applyNumberFormat="1" applyFont="1"/>
    <xf numFmtId="166" fontId="9" fillId="0" borderId="0" xfId="0" quotePrefix="1" applyNumberFormat="1" applyFont="1" applyAlignment="1">
      <alignment horizontal="center"/>
    </xf>
    <xf numFmtId="166" fontId="9" fillId="0" borderId="0" xfId="0" applyNumberFormat="1" applyFont="1"/>
    <xf numFmtId="0" fontId="16" fillId="0" borderId="0" xfId="0" applyFont="1"/>
    <xf numFmtId="166" fontId="8" fillId="0" borderId="10" xfId="0" applyNumberFormat="1" applyFont="1" applyBorder="1"/>
    <xf numFmtId="166" fontId="9" fillId="0" borderId="16" xfId="0" applyNumberFormat="1" applyFont="1" applyBorder="1"/>
    <xf numFmtId="3" fontId="9" fillId="0" borderId="0" xfId="0" applyNumberFormat="1" applyFont="1" applyAlignment="1">
      <alignment horizontal="center"/>
    </xf>
    <xf numFmtId="3" fontId="9" fillId="0" borderId="22" xfId="0" applyNumberFormat="1" applyFont="1" applyBorder="1" applyAlignment="1">
      <alignment horizontal="centerContinuous"/>
    </xf>
    <xf numFmtId="3" fontId="9" fillId="0" borderId="0" xfId="0" applyNumberFormat="1" applyFont="1"/>
    <xf numFmtId="3" fontId="9" fillId="0" borderId="24" xfId="0" applyNumberFormat="1" applyFont="1" applyBorder="1" applyAlignment="1">
      <alignment horizontal="centerContinuous"/>
    </xf>
    <xf numFmtId="3" fontId="9" fillId="0" borderId="23" xfId="0" applyNumberFormat="1" applyFont="1" applyBorder="1" applyAlignment="1">
      <alignment horizontal="centerContinuous"/>
    </xf>
    <xf numFmtId="3" fontId="9" fillId="0" borderId="2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Continuous"/>
    </xf>
    <xf numFmtId="3" fontId="9" fillId="0" borderId="15" xfId="0" applyNumberFormat="1" applyFont="1" applyBorder="1" applyAlignment="1">
      <alignment horizontal="centerContinuous"/>
    </xf>
    <xf numFmtId="3" fontId="9" fillId="0" borderId="13" xfId="0" applyNumberFormat="1" applyFont="1" applyBorder="1" applyAlignment="1">
      <alignment horizontal="centerContinuous"/>
    </xf>
    <xf numFmtId="3" fontId="9" fillId="0" borderId="5" xfId="0" applyNumberFormat="1" applyFont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8" fillId="0" borderId="12" xfId="0" applyNumberFormat="1" applyFont="1" applyBorder="1"/>
    <xf numFmtId="3" fontId="9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3" fontId="9" fillId="0" borderId="35" xfId="0" applyNumberFormat="1" applyFont="1" applyBorder="1"/>
    <xf numFmtId="3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/>
    </xf>
    <xf numFmtId="38" fontId="9" fillId="0" borderId="0" xfId="0" applyNumberFormat="1" applyFont="1" applyAlignment="1">
      <alignment horizontal="centerContinuous"/>
    </xf>
    <xf numFmtId="37" fontId="9" fillId="0" borderId="35" xfId="0" applyNumberFormat="1" applyFont="1" applyBorder="1"/>
    <xf numFmtId="37" fontId="9" fillId="0" borderId="0" xfId="0" applyNumberFormat="1" applyFont="1"/>
    <xf numFmtId="3" fontId="9" fillId="0" borderId="25" xfId="0" applyNumberFormat="1" applyFont="1" applyBorder="1"/>
    <xf numFmtId="3" fontId="8" fillId="0" borderId="10" xfId="0" applyNumberFormat="1" applyFont="1" applyBorder="1"/>
    <xf numFmtId="0" fontId="9" fillId="0" borderId="0" xfId="0" applyFont="1" applyAlignment="1">
      <alignment wrapText="1"/>
    </xf>
    <xf numFmtId="3" fontId="8" fillId="0" borderId="35" xfId="0" applyNumberFormat="1" applyFont="1" applyBorder="1"/>
    <xf numFmtId="166" fontId="8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166" fontId="8" fillId="0" borderId="10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0" fontId="8" fillId="0" borderId="10" xfId="0" applyFont="1" applyBorder="1"/>
    <xf numFmtId="166" fontId="9" fillId="0" borderId="16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3" fontId="5" fillId="0" borderId="22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3" fontId="5" fillId="0" borderId="16" xfId="0" applyNumberFormat="1" applyFont="1" applyBorder="1"/>
    <xf numFmtId="0" fontId="5" fillId="0" borderId="0" xfId="0" applyFont="1"/>
    <xf numFmtId="3" fontId="5" fillId="0" borderId="0" xfId="0" applyNumberFormat="1" applyFont="1"/>
    <xf numFmtId="37" fontId="3" fillId="0" borderId="0" xfId="0" applyNumberFormat="1" applyFont="1"/>
    <xf numFmtId="0" fontId="3" fillId="0" borderId="0" xfId="0" applyFont="1" applyAlignment="1">
      <alignment wrapText="1"/>
    </xf>
    <xf numFmtId="37" fontId="3" fillId="0" borderId="25" xfId="0" applyNumberFormat="1" applyFont="1" applyBorder="1"/>
    <xf numFmtId="0" fontId="5" fillId="0" borderId="0" xfId="0" applyFont="1" applyAlignment="1">
      <alignment wrapText="1"/>
    </xf>
    <xf numFmtId="37" fontId="5" fillId="0" borderId="0" xfId="0" applyNumberFormat="1" applyFont="1"/>
    <xf numFmtId="166" fontId="3" fillId="0" borderId="10" xfId="0" applyNumberFormat="1" applyFont="1" applyBorder="1"/>
    <xf numFmtId="166" fontId="3" fillId="0" borderId="10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5" fillId="0" borderId="16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3" fontId="3" fillId="0" borderId="10" xfId="0" applyNumberFormat="1" applyFont="1" applyBorder="1"/>
    <xf numFmtId="0" fontId="24" fillId="0" borderId="0" xfId="0" applyFont="1"/>
    <xf numFmtId="3" fontId="3" fillId="0" borderId="35" xfId="0" applyNumberFormat="1" applyFont="1" applyBorder="1"/>
    <xf numFmtId="9" fontId="3" fillId="10" borderId="0" xfId="8" applyFont="1" applyFill="1" applyAlignment="1" applyProtection="1">
      <alignment horizontal="left"/>
    </xf>
    <xf numFmtId="3" fontId="3" fillId="6" borderId="0" xfId="0" applyNumberFormat="1" applyFont="1" applyFill="1"/>
    <xf numFmtId="0" fontId="3" fillId="0" borderId="0" xfId="0" quotePrefix="1" applyFont="1" applyAlignment="1">
      <alignment horizontal="left"/>
    </xf>
    <xf numFmtId="0" fontId="3" fillId="0" borderId="37" xfId="0" applyFont="1" applyBorder="1" applyAlignment="1">
      <alignment horizontal="right"/>
    </xf>
    <xf numFmtId="164" fontId="3" fillId="0" borderId="38" xfId="9" applyNumberFormat="1" applyFont="1" applyFill="1" applyBorder="1" applyProtection="1"/>
    <xf numFmtId="0" fontId="3" fillId="0" borderId="24" xfId="0" applyFont="1" applyBorder="1"/>
    <xf numFmtId="0" fontId="3" fillId="0" borderId="23" xfId="0" applyFont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Continuous"/>
    </xf>
    <xf numFmtId="4" fontId="5" fillId="0" borderId="22" xfId="0" applyNumberFormat="1" applyFont="1" applyBorder="1" applyAlignment="1">
      <alignment horizontal="center"/>
    </xf>
    <xf numFmtId="4" fontId="5" fillId="7" borderId="22" xfId="0" applyNumberFormat="1" applyFont="1" applyFill="1" applyBorder="1" applyAlignment="1">
      <alignment horizontal="center"/>
    </xf>
    <xf numFmtId="4" fontId="5" fillId="8" borderId="22" xfId="0" applyNumberFormat="1" applyFont="1" applyFill="1" applyBorder="1" applyAlignment="1">
      <alignment horizontal="center"/>
    </xf>
    <xf numFmtId="0" fontId="3" fillId="0" borderId="14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3" fillId="0" borderId="15" xfId="0" applyFont="1" applyBorder="1"/>
    <xf numFmtId="0" fontId="3" fillId="0" borderId="13" xfId="0" applyFont="1" applyBorder="1"/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38" fontId="5" fillId="7" borderId="12" xfId="0" applyNumberFormat="1" applyFont="1" applyFill="1" applyBorder="1" applyAlignment="1">
      <alignment horizontal="center"/>
    </xf>
    <xf numFmtId="38" fontId="5" fillId="8" borderId="12" xfId="0" applyNumberFormat="1" applyFont="1" applyFill="1" applyBorder="1" applyAlignment="1">
      <alignment horizontal="center"/>
    </xf>
    <xf numFmtId="169" fontId="3" fillId="0" borderId="5" xfId="9" applyNumberFormat="1" applyFont="1" applyBorder="1" applyProtection="1"/>
    <xf numFmtId="4" fontId="3" fillId="0" borderId="5" xfId="0" applyNumberFormat="1" applyFont="1" applyBorder="1" applyAlignment="1">
      <alignment horizontal="center"/>
    </xf>
    <xf numFmtId="169" fontId="3" fillId="0" borderId="5" xfId="9" applyNumberFormat="1" applyFont="1" applyFill="1" applyBorder="1" applyProtection="1"/>
    <xf numFmtId="169" fontId="3" fillId="7" borderId="5" xfId="9" applyNumberFormat="1" applyFont="1" applyFill="1" applyBorder="1" applyProtection="1"/>
    <xf numFmtId="169" fontId="3" fillId="8" borderId="5" xfId="9" applyNumberFormat="1" applyFont="1" applyFill="1" applyBorder="1" applyProtection="1"/>
    <xf numFmtId="0" fontId="24" fillId="0" borderId="14" xfId="0" applyFont="1" applyBorder="1"/>
    <xf numFmtId="169" fontId="5" fillId="0" borderId="5" xfId="9" applyNumberFormat="1" applyFont="1" applyBorder="1" applyProtection="1"/>
    <xf numFmtId="4" fontId="5" fillId="0" borderId="5" xfId="0" applyNumberFormat="1" applyFont="1" applyBorder="1" applyAlignment="1">
      <alignment horizontal="center"/>
    </xf>
    <xf numFmtId="169" fontId="5" fillId="0" borderId="5" xfId="9" applyNumberFormat="1" applyFont="1" applyFill="1" applyBorder="1" applyProtection="1"/>
    <xf numFmtId="0" fontId="5" fillId="0" borderId="14" xfId="0" applyFont="1" applyBorder="1"/>
    <xf numFmtId="169" fontId="5" fillId="0" borderId="43" xfId="9" applyNumberFormat="1" applyFont="1" applyBorder="1" applyProtection="1"/>
    <xf numFmtId="169" fontId="3" fillId="0" borderId="26" xfId="9" applyNumberFormat="1" applyFont="1" applyBorder="1" applyProtection="1"/>
    <xf numFmtId="169" fontId="5" fillId="7" borderId="43" xfId="9" applyNumberFormat="1" applyFont="1" applyFill="1" applyBorder="1" applyProtection="1"/>
    <xf numFmtId="169" fontId="3" fillId="8" borderId="43" xfId="9" applyNumberFormat="1" applyFont="1" applyFill="1" applyBorder="1" applyProtection="1"/>
    <xf numFmtId="0" fontId="3" fillId="0" borderId="10" xfId="0" applyFont="1" applyBorder="1"/>
    <xf numFmtId="169" fontId="3" fillId="0" borderId="12" xfId="9" applyNumberFormat="1" applyFont="1" applyBorder="1" applyProtection="1"/>
    <xf numFmtId="4" fontId="3" fillId="0" borderId="12" xfId="0" applyNumberFormat="1" applyFont="1" applyBorder="1" applyAlignment="1">
      <alignment horizontal="center"/>
    </xf>
    <xf numFmtId="169" fontId="3" fillId="7" borderId="12" xfId="9" applyNumberFormat="1" applyFont="1" applyFill="1" applyBorder="1" applyProtection="1"/>
    <xf numFmtId="169" fontId="3" fillId="8" borderId="12" xfId="9" applyNumberFormat="1" applyFont="1" applyFill="1" applyBorder="1" applyProtection="1"/>
    <xf numFmtId="169" fontId="3" fillId="0" borderId="0" xfId="0" applyNumberFormat="1" applyFont="1"/>
    <xf numFmtId="4" fontId="3" fillId="0" borderId="0" xfId="0" applyNumberFormat="1" applyFont="1" applyAlignment="1">
      <alignment horizontal="center"/>
    </xf>
    <xf numFmtId="164" fontId="3" fillId="0" borderId="38" xfId="9" applyNumberFormat="1" applyFont="1" applyBorder="1" applyProtection="1"/>
    <xf numFmtId="0" fontId="5" fillId="0" borderId="22" xfId="0" applyFont="1" applyBorder="1"/>
    <xf numFmtId="38" fontId="5" fillId="7" borderId="5" xfId="0" applyNumberFormat="1" applyFont="1" applyFill="1" applyBorder="1" applyAlignment="1">
      <alignment horizontal="center"/>
    </xf>
    <xf numFmtId="38" fontId="5" fillId="8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5" fontId="3" fillId="0" borderId="5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5" fontId="3" fillId="0" borderId="25" xfId="0" applyNumberFormat="1" applyFont="1" applyBorder="1" applyAlignment="1">
      <alignment horizontal="center"/>
    </xf>
    <xf numFmtId="169" fontId="3" fillId="0" borderId="22" xfId="9" applyNumberFormat="1" applyFont="1" applyBorder="1" applyProtection="1"/>
    <xf numFmtId="4" fontId="3" fillId="0" borderId="23" xfId="0" applyNumberFormat="1" applyFont="1" applyBorder="1" applyAlignment="1">
      <alignment horizontal="center"/>
    </xf>
    <xf numFmtId="169" fontId="3" fillId="7" borderId="22" xfId="9" applyNumberFormat="1" applyFont="1" applyFill="1" applyBorder="1" applyProtection="1"/>
    <xf numFmtId="169" fontId="3" fillId="8" borderId="22" xfId="9" applyNumberFormat="1" applyFont="1" applyFill="1" applyBorder="1" applyProtection="1"/>
    <xf numFmtId="15" fontId="5" fillId="0" borderId="0" xfId="0" applyNumberFormat="1" applyFont="1" applyAlignment="1">
      <alignment horizontal="center"/>
    </xf>
    <xf numFmtId="169" fontId="5" fillId="0" borderId="17" xfId="9" applyNumberFormat="1" applyFont="1" applyBorder="1" applyProtection="1"/>
    <xf numFmtId="4" fontId="5" fillId="0" borderId="7" xfId="0" applyNumberFormat="1" applyFont="1" applyBorder="1" applyAlignment="1">
      <alignment horizontal="center"/>
    </xf>
    <xf numFmtId="169" fontId="5" fillId="7" borderId="17" xfId="9" applyNumberFormat="1" applyFont="1" applyFill="1" applyBorder="1" applyProtection="1"/>
    <xf numFmtId="169" fontId="5" fillId="8" borderId="17" xfId="9" applyNumberFormat="1" applyFont="1" applyFill="1" applyBorder="1" applyProtection="1"/>
    <xf numFmtId="0" fontId="5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/>
    <xf numFmtId="0" fontId="3" fillId="7" borderId="12" xfId="0" applyFont="1" applyFill="1" applyBorder="1"/>
    <xf numFmtId="3" fontId="3" fillId="8" borderId="12" xfId="0" applyNumberFormat="1" applyFont="1" applyFill="1" applyBorder="1"/>
    <xf numFmtId="0" fontId="8" fillId="0" borderId="24" xfId="0" applyFont="1" applyBorder="1"/>
    <xf numFmtId="0" fontId="9" fillId="4" borderId="35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166" fontId="9" fillId="3" borderId="22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15" xfId="0" applyFont="1" applyFill="1" applyBorder="1" applyAlignment="1">
      <alignment horizontal="centerContinuous"/>
    </xf>
    <xf numFmtId="0" fontId="9" fillId="2" borderId="10" xfId="0" applyFont="1" applyFill="1" applyBorder="1" applyAlignment="1">
      <alignment horizontal="centerContinuous"/>
    </xf>
    <xf numFmtId="166" fontId="9" fillId="3" borderId="12" xfId="0" applyNumberFormat="1" applyFont="1" applyFill="1" applyBorder="1" applyAlignment="1">
      <alignment horizontal="center"/>
    </xf>
    <xf numFmtId="10" fontId="10" fillId="4" borderId="10" xfId="8" applyNumberFormat="1" applyFont="1" applyFill="1" applyBorder="1" applyAlignment="1" applyProtection="1">
      <alignment horizontal="center"/>
    </xf>
    <xf numFmtId="166" fontId="9" fillId="4" borderId="12" xfId="0" applyNumberFormat="1" applyFont="1" applyFill="1" applyBorder="1" applyAlignment="1">
      <alignment horizontal="center"/>
    </xf>
    <xf numFmtId="0" fontId="8" fillId="0" borderId="14" xfId="0" applyFont="1" applyBorder="1"/>
    <xf numFmtId="166" fontId="8" fillId="0" borderId="5" xfId="0" applyNumberFormat="1" applyFont="1" applyBorder="1"/>
    <xf numFmtId="166" fontId="8" fillId="0" borderId="7" xfId="0" applyNumberFormat="1" applyFont="1" applyBorder="1"/>
    <xf numFmtId="0" fontId="8" fillId="0" borderId="5" xfId="0" applyFont="1" applyBorder="1"/>
    <xf numFmtId="0" fontId="9" fillId="0" borderId="14" xfId="0" applyFont="1" applyBorder="1"/>
    <xf numFmtId="166" fontId="8" fillId="10" borderId="5" xfId="0" applyNumberFormat="1" applyFont="1" applyFill="1" applyBorder="1"/>
    <xf numFmtId="166" fontId="8" fillId="0" borderId="12" xfId="0" applyNumberFormat="1" applyFont="1" applyBorder="1"/>
    <xf numFmtId="166" fontId="8" fillId="0" borderId="26" xfId="0" applyNumberFormat="1" applyFont="1" applyBorder="1"/>
    <xf numFmtId="3" fontId="8" fillId="0" borderId="5" xfId="0" applyNumberFormat="1" applyFont="1" applyBorder="1"/>
    <xf numFmtId="166" fontId="8" fillId="0" borderId="13" xfId="0" applyNumberFormat="1" applyFont="1" applyBorder="1"/>
    <xf numFmtId="0" fontId="9" fillId="0" borderId="15" xfId="0" applyFont="1" applyBorder="1"/>
    <xf numFmtId="169" fontId="9" fillId="0" borderId="25" xfId="9" applyNumberFormat="1" applyFont="1" applyBorder="1" applyProtection="1"/>
    <xf numFmtId="166" fontId="9" fillId="0" borderId="17" xfId="0" applyNumberFormat="1" applyFont="1" applyBorder="1"/>
    <xf numFmtId="0" fontId="8" fillId="2" borderId="24" xfId="0" applyFont="1" applyFill="1" applyBorder="1"/>
    <xf numFmtId="0" fontId="8" fillId="2" borderId="25" xfId="0" applyFont="1" applyFill="1" applyBorder="1"/>
    <xf numFmtId="0" fontId="9" fillId="3" borderId="22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Continuous"/>
    </xf>
    <xf numFmtId="0" fontId="9" fillId="4" borderId="35" xfId="0" applyFont="1" applyFill="1" applyBorder="1" applyAlignment="1">
      <alignment horizontal="centerContinuous"/>
    </xf>
    <xf numFmtId="0" fontId="9" fillId="4" borderId="38" xfId="0" applyFont="1" applyFill="1" applyBorder="1" applyAlignment="1">
      <alignment horizontal="centerContinuous"/>
    </xf>
    <xf numFmtId="0" fontId="9" fillId="3" borderId="5" xfId="0" applyFont="1" applyFill="1" applyBorder="1" applyAlignment="1">
      <alignment horizontal="center"/>
    </xf>
    <xf numFmtId="166" fontId="9" fillId="3" borderId="7" xfId="0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166" fontId="9" fillId="4" borderId="5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166" fontId="10" fillId="4" borderId="5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6" fontId="9" fillId="3" borderId="13" xfId="0" applyNumberFormat="1" applyFont="1" applyFill="1" applyBorder="1" applyAlignment="1">
      <alignment horizontal="center"/>
    </xf>
    <xf numFmtId="166" fontId="10" fillId="3" borderId="12" xfId="0" applyNumberFormat="1" applyFont="1" applyFill="1" applyBorder="1" applyAlignment="1">
      <alignment horizontal="center"/>
    </xf>
    <xf numFmtId="166" fontId="9" fillId="3" borderId="13" xfId="0" quotePrefix="1" applyNumberFormat="1" applyFont="1" applyFill="1" applyBorder="1" applyAlignment="1">
      <alignment horizontal="center"/>
    </xf>
    <xf numFmtId="166" fontId="10" fillId="4" borderId="12" xfId="0" applyNumberFormat="1" applyFont="1" applyFill="1" applyBorder="1" applyAlignment="1">
      <alignment horizontal="center"/>
    </xf>
    <xf numFmtId="166" fontId="9" fillId="4" borderId="13" xfId="0" quotePrefix="1" applyNumberFormat="1" applyFont="1" applyFill="1" applyBorder="1" applyAlignment="1">
      <alignment horizontal="center"/>
    </xf>
    <xf numFmtId="166" fontId="8" fillId="10" borderId="7" xfId="0" applyNumberFormat="1" applyFont="1" applyFill="1" applyBorder="1"/>
    <xf numFmtId="166" fontId="8" fillId="0" borderId="0" xfId="0" applyNumberFormat="1" applyFont="1" applyAlignment="1">
      <alignment horizontal="center"/>
    </xf>
    <xf numFmtId="0" fontId="4" fillId="0" borderId="10" xfId="0" applyFont="1" applyBorder="1"/>
    <xf numFmtId="166" fontId="5" fillId="0" borderId="12" xfId="0" applyNumberFormat="1" applyFont="1" applyBorder="1"/>
    <xf numFmtId="166" fontId="4" fillId="0" borderId="0" xfId="0" applyNumberFormat="1" applyFont="1"/>
    <xf numFmtId="0" fontId="16" fillId="0" borderId="24" xfId="0" applyFont="1" applyBorder="1"/>
    <xf numFmtId="0" fontId="8" fillId="0" borderId="25" xfId="0" applyFont="1" applyBorder="1"/>
    <xf numFmtId="0" fontId="9" fillId="0" borderId="23" xfId="0" applyFont="1" applyBorder="1" applyAlignment="1">
      <alignment horizontal="center"/>
    </xf>
    <xf numFmtId="37" fontId="9" fillId="0" borderId="26" xfId="0" applyNumberFormat="1" applyFont="1" applyBorder="1" applyAlignment="1">
      <alignment horizontal="center"/>
    </xf>
    <xf numFmtId="0" fontId="8" fillId="0" borderId="7" xfId="0" applyFont="1" applyBorder="1"/>
    <xf numFmtId="166" fontId="8" fillId="0" borderId="22" xfId="0" applyNumberFormat="1" applyFont="1" applyBorder="1"/>
    <xf numFmtId="166" fontId="8" fillId="0" borderId="23" xfId="0" applyNumberFormat="1" applyFont="1" applyBorder="1"/>
    <xf numFmtId="0" fontId="9" fillId="0" borderId="10" xfId="0" applyFont="1" applyBorder="1"/>
    <xf numFmtId="0" fontId="9" fillId="0" borderId="13" xfId="0" applyFont="1" applyBorder="1"/>
    <xf numFmtId="166" fontId="9" fillId="0" borderId="26" xfId="0" applyNumberFormat="1" applyFont="1" applyBorder="1"/>
    <xf numFmtId="0" fontId="9" fillId="2" borderId="14" xfId="0" applyFont="1" applyFill="1" applyBorder="1" applyAlignment="1">
      <alignment horizontal="centerContinuous"/>
    </xf>
    <xf numFmtId="0" fontId="9" fillId="2" borderId="0" xfId="0" applyFont="1" applyFill="1" applyAlignment="1">
      <alignment horizontal="centerContinuous"/>
    </xf>
    <xf numFmtId="166" fontId="8" fillId="2" borderId="0" xfId="0" applyNumberFormat="1" applyFont="1" applyFill="1"/>
    <xf numFmtId="166" fontId="9" fillId="4" borderId="7" xfId="0" applyNumberFormat="1" applyFont="1" applyFill="1" applyBorder="1" applyAlignment="1">
      <alignment horizontal="center"/>
    </xf>
    <xf numFmtId="166" fontId="9" fillId="4" borderId="13" xfId="0" applyNumberFormat="1" applyFont="1" applyFill="1" applyBorder="1" applyAlignment="1">
      <alignment horizontal="center"/>
    </xf>
    <xf numFmtId="166" fontId="8" fillId="0" borderId="38" xfId="0" applyNumberFormat="1" applyFont="1" applyBorder="1"/>
    <xf numFmtId="166" fontId="5" fillId="0" borderId="0" xfId="0" applyNumberFormat="1" applyFont="1"/>
    <xf numFmtId="0" fontId="9" fillId="2" borderId="2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17" fontId="9" fillId="2" borderId="25" xfId="0" applyNumberFormat="1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8" fillId="2" borderId="15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2" xfId="0" applyFont="1" applyBorder="1"/>
    <xf numFmtId="0" fontId="9" fillId="0" borderId="7" xfId="0" applyFont="1" applyBorder="1"/>
    <xf numFmtId="0" fontId="11" fillId="0" borderId="14" xfId="0" applyFont="1" applyBorder="1"/>
    <xf numFmtId="0" fontId="8" fillId="0" borderId="5" xfId="0" quotePrefix="1" applyFont="1" applyBorder="1" applyAlignment="1">
      <alignment horizontal="center"/>
    </xf>
    <xf numFmtId="17" fontId="8" fillId="0" borderId="5" xfId="0" quotePrefix="1" applyNumberFormat="1" applyFont="1" applyBorder="1" applyAlignment="1">
      <alignment horizontal="center"/>
    </xf>
    <xf numFmtId="166" fontId="9" fillId="0" borderId="7" xfId="0" quotePrefix="1" applyNumberFormat="1" applyFont="1" applyBorder="1" applyAlignment="1">
      <alignment horizontal="center"/>
    </xf>
    <xf numFmtId="17" fontId="8" fillId="0" borderId="0" xfId="0" quotePrefix="1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17" fontId="8" fillId="0" borderId="14" xfId="0" quotePrefix="1" applyNumberFormat="1" applyFont="1" applyBorder="1" applyAlignment="1">
      <alignment horizontal="center"/>
    </xf>
    <xf numFmtId="166" fontId="8" fillId="0" borderId="43" xfId="0" applyNumberFormat="1" applyFont="1" applyBorder="1"/>
    <xf numFmtId="166" fontId="8" fillId="0" borderId="44" xfId="0" applyNumberFormat="1" applyFont="1" applyBorder="1"/>
    <xf numFmtId="0" fontId="8" fillId="0" borderId="15" xfId="0" applyFont="1" applyBorder="1"/>
    <xf numFmtId="0" fontId="8" fillId="0" borderId="12" xfId="0" applyFont="1" applyBorder="1" applyAlignment="1">
      <alignment horizontal="center"/>
    </xf>
    <xf numFmtId="166" fontId="9" fillId="0" borderId="13" xfId="0" applyNumberFormat="1" applyFont="1" applyBorder="1"/>
    <xf numFmtId="0" fontId="8" fillId="0" borderId="23" xfId="0" applyFont="1" applyBorder="1"/>
    <xf numFmtId="166" fontId="8" fillId="0" borderId="45" xfId="0" applyNumberFormat="1" applyFont="1" applyBorder="1"/>
    <xf numFmtId="0" fontId="8" fillId="0" borderId="13" xfId="0" applyFont="1" applyBorder="1"/>
    <xf numFmtId="0" fontId="9" fillId="3" borderId="33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42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9" fontId="9" fillId="9" borderId="12" xfId="8" applyFont="1" applyFill="1" applyBorder="1" applyAlignment="1" applyProtection="1">
      <alignment horizontal="center"/>
    </xf>
    <xf numFmtId="9" fontId="9" fillId="4" borderId="18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9" xfId="0" applyFont="1" applyBorder="1"/>
    <xf numFmtId="0" fontId="9" fillId="0" borderId="1" xfId="0" applyFont="1" applyBorder="1"/>
    <xf numFmtId="0" fontId="9" fillId="0" borderId="5" xfId="0" applyFont="1" applyBorder="1"/>
    <xf numFmtId="0" fontId="8" fillId="0" borderId="5" xfId="0" applyFont="1" applyBorder="1" applyAlignment="1">
      <alignment horizontal="left"/>
    </xf>
    <xf numFmtId="166" fontId="8" fillId="0" borderId="19" xfId="0" applyNumberFormat="1" applyFont="1" applyBorder="1"/>
    <xf numFmtId="166" fontId="8" fillId="0" borderId="18" xfId="0" applyNumberFormat="1" applyFont="1" applyBorder="1"/>
    <xf numFmtId="166" fontId="9" fillId="0" borderId="20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6" xfId="0" applyFont="1" applyBorder="1"/>
    <xf numFmtId="166" fontId="8" fillId="0" borderId="4" xfId="0" applyNumberFormat="1" applyFont="1" applyBorder="1"/>
    <xf numFmtId="166" fontId="8" fillId="0" borderId="6" xfId="0" applyNumberFormat="1" applyFont="1" applyBorder="1"/>
    <xf numFmtId="166" fontId="8" fillId="0" borderId="21" xfId="0" applyNumberFormat="1" applyFont="1" applyBorder="1"/>
    <xf numFmtId="0" fontId="17" fillId="4" borderId="33" xfId="0" applyFont="1" applyFill="1" applyBorder="1"/>
    <xf numFmtId="0" fontId="17" fillId="4" borderId="40" xfId="0" applyFont="1" applyFill="1" applyBorder="1"/>
    <xf numFmtId="0" fontId="17" fillId="4" borderId="32" xfId="0" applyFont="1" applyFill="1" applyBorder="1"/>
    <xf numFmtId="0" fontId="17" fillId="4" borderId="42" xfId="0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quotePrefix="1" applyFont="1" applyFill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7" fillId="4" borderId="41" xfId="0" applyFont="1" applyFill="1" applyBorder="1"/>
    <xf numFmtId="0" fontId="15" fillId="4" borderId="12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7" fillId="4" borderId="10" xfId="0" applyFont="1" applyFill="1" applyBorder="1"/>
    <xf numFmtId="0" fontId="15" fillId="4" borderId="18" xfId="0" applyFont="1" applyFill="1" applyBorder="1" applyAlignment="1">
      <alignment horizontal="center"/>
    </xf>
    <xf numFmtId="10" fontId="9" fillId="0" borderId="0" xfId="0" quotePrefix="1" applyNumberFormat="1" applyFont="1" applyAlignment="1">
      <alignment horizontal="center"/>
    </xf>
    <xf numFmtId="0" fontId="9" fillId="0" borderId="19" xfId="0" applyFont="1" applyBorder="1" applyAlignment="1">
      <alignment horizontal="center"/>
    </xf>
    <xf numFmtId="10" fontId="8" fillId="0" borderId="14" xfId="0" quotePrefix="1" applyNumberFormat="1" applyFont="1" applyBorder="1" applyAlignment="1">
      <alignment horizontal="center"/>
    </xf>
    <xf numFmtId="166" fontId="8" fillId="0" borderId="19" xfId="0" applyNumberFormat="1" applyFont="1" applyBorder="1" applyAlignment="1">
      <alignment horizontal="right"/>
    </xf>
    <xf numFmtId="17" fontId="8" fillId="0" borderId="5" xfId="0" applyNumberFormat="1" applyFont="1" applyBorder="1" applyAlignment="1">
      <alignment horizontal="center"/>
    </xf>
    <xf numFmtId="166" fontId="8" fillId="0" borderId="18" xfId="0" applyNumberFormat="1" applyFont="1" applyBorder="1" applyAlignment="1">
      <alignment horizontal="right"/>
    </xf>
    <xf numFmtId="166" fontId="9" fillId="0" borderId="20" xfId="0" applyNumberFormat="1" applyFont="1" applyBorder="1" applyAlignment="1">
      <alignment horizontal="right"/>
    </xf>
    <xf numFmtId="0" fontId="8" fillId="0" borderId="41" xfId="0" applyFont="1" applyBorder="1"/>
    <xf numFmtId="0" fontId="8" fillId="0" borderId="12" xfId="0" applyFont="1" applyBorder="1"/>
    <xf numFmtId="10" fontId="8" fillId="0" borderId="15" xfId="0" quotePrefix="1" applyNumberFormat="1" applyFont="1" applyBorder="1" applyAlignment="1">
      <alignment horizontal="center"/>
    </xf>
    <xf numFmtId="166" fontId="9" fillId="0" borderId="18" xfId="0" applyNumberFormat="1" applyFont="1" applyBorder="1" applyAlignment="1">
      <alignment horizontal="right"/>
    </xf>
    <xf numFmtId="0" fontId="8" fillId="0" borderId="33" xfId="0" quotePrefix="1" applyFont="1" applyBorder="1" applyAlignment="1">
      <alignment horizontal="left"/>
    </xf>
    <xf numFmtId="0" fontId="8" fillId="0" borderId="32" xfId="0" applyFont="1" applyBorder="1"/>
    <xf numFmtId="166" fontId="8" fillId="0" borderId="32" xfId="0" applyNumberFormat="1" applyFont="1" applyBorder="1"/>
    <xf numFmtId="166" fontId="8" fillId="0" borderId="32" xfId="0" applyNumberFormat="1" applyFont="1" applyBorder="1" applyAlignment="1">
      <alignment horizontal="right"/>
    </xf>
    <xf numFmtId="166" fontId="8" fillId="0" borderId="34" xfId="0" applyNumberFormat="1" applyFont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10" fontId="8" fillId="0" borderId="0" xfId="0" quotePrefix="1" applyNumberFormat="1" applyFont="1" applyAlignment="1">
      <alignment horizontal="left"/>
    </xf>
    <xf numFmtId="0" fontId="8" fillId="0" borderId="0" xfId="0" applyFont="1" applyAlignment="1">
      <alignment horizontal="right"/>
    </xf>
    <xf numFmtId="10" fontId="8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166" fontId="8" fillId="0" borderId="9" xfId="0" applyNumberFormat="1" applyFont="1" applyBorder="1" applyAlignment="1">
      <alignment horizontal="right"/>
    </xf>
    <xf numFmtId="0" fontId="15" fillId="4" borderId="33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166" fontId="8" fillId="0" borderId="2" xfId="0" applyNumberFormat="1" applyFont="1" applyBorder="1"/>
    <xf numFmtId="166" fontId="8" fillId="0" borderId="17" xfId="0" applyNumberFormat="1" applyFont="1" applyBorder="1"/>
    <xf numFmtId="9" fontId="8" fillId="0" borderId="0" xfId="8" applyFont="1" applyFill="1" applyProtection="1"/>
    <xf numFmtId="9" fontId="8" fillId="0" borderId="0" xfId="8" applyFont="1" applyProtection="1"/>
    <xf numFmtId="9" fontId="8" fillId="0" borderId="4" xfId="8" applyFont="1" applyBorder="1" applyProtection="1"/>
    <xf numFmtId="166" fontId="8" fillId="0" borderId="9" xfId="0" applyNumberFormat="1" applyFont="1" applyBorder="1"/>
    <xf numFmtId="0" fontId="15" fillId="4" borderId="42" xfId="0" applyFont="1" applyFill="1" applyBorder="1" applyAlignment="1">
      <alignment horizontal="center"/>
    </xf>
    <xf numFmtId="0" fontId="8" fillId="0" borderId="30" xfId="0" applyFont="1" applyBorder="1"/>
    <xf numFmtId="37" fontId="8" fillId="0" borderId="5" xfId="0" applyNumberFormat="1" applyFont="1" applyBorder="1"/>
    <xf numFmtId="37" fontId="8" fillId="0" borderId="19" xfId="0" applyNumberFormat="1" applyFont="1" applyBorder="1"/>
    <xf numFmtId="37" fontId="19" fillId="0" borderId="0" xfId="0" quotePrefix="1" applyNumberFormat="1" applyFont="1" applyAlignment="1">
      <alignment horizontal="center"/>
    </xf>
    <xf numFmtId="37" fontId="23" fillId="0" borderId="0" xfId="0" applyNumberFormat="1" applyFont="1"/>
    <xf numFmtId="37" fontId="8" fillId="0" borderId="26" xfId="0" applyNumberFormat="1" applyFont="1" applyBorder="1"/>
    <xf numFmtId="37" fontId="8" fillId="0" borderId="55" xfId="0" applyNumberFormat="1" applyFont="1" applyBorder="1"/>
    <xf numFmtId="37" fontId="9" fillId="0" borderId="17" xfId="0" applyNumberFormat="1" applyFont="1" applyBorder="1"/>
    <xf numFmtId="37" fontId="9" fillId="0" borderId="20" xfId="0" applyNumberFormat="1" applyFont="1" applyBorder="1"/>
    <xf numFmtId="37" fontId="8" fillId="0" borderId="51" xfId="0" applyNumberFormat="1" applyFont="1" applyBorder="1"/>
    <xf numFmtId="37" fontId="8" fillId="0" borderId="18" xfId="0" applyNumberFormat="1" applyFont="1" applyBorder="1"/>
    <xf numFmtId="37" fontId="8" fillId="0" borderId="2" xfId="0" applyNumberFormat="1" applyFont="1" applyBorder="1"/>
    <xf numFmtId="0" fontId="8" fillId="0" borderId="2" xfId="0" applyFont="1" applyBorder="1"/>
    <xf numFmtId="0" fontId="9" fillId="0" borderId="3" xfId="0" applyFont="1" applyBorder="1" applyAlignment="1">
      <alignment horizontal="left"/>
    </xf>
    <xf numFmtId="0" fontId="8" fillId="0" borderId="9" xfId="0" applyFont="1" applyBorder="1"/>
    <xf numFmtId="0" fontId="9" fillId="3" borderId="47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8" fillId="0" borderId="36" xfId="0" applyFont="1" applyBorder="1"/>
    <xf numFmtId="37" fontId="8" fillId="0" borderId="36" xfId="0" applyNumberFormat="1" applyFont="1" applyBorder="1"/>
    <xf numFmtId="0" fontId="11" fillId="0" borderId="36" xfId="0" applyFont="1" applyBorder="1"/>
    <xf numFmtId="16" fontId="8" fillId="0" borderId="5" xfId="0" quotePrefix="1" applyNumberFormat="1" applyFont="1" applyBorder="1" applyAlignment="1">
      <alignment horizontal="center"/>
    </xf>
    <xf numFmtId="168" fontId="8" fillId="0" borderId="5" xfId="8" applyNumberFormat="1" applyFont="1" applyBorder="1" applyAlignment="1" applyProtection="1">
      <alignment horizontal="center"/>
    </xf>
    <xf numFmtId="37" fontId="8" fillId="0" borderId="36" xfId="0" applyNumberFormat="1" applyFont="1" applyBorder="1" applyAlignment="1">
      <alignment horizontal="center"/>
    </xf>
    <xf numFmtId="168" fontId="8" fillId="0" borderId="5" xfId="8" applyNumberFormat="1" applyFont="1" applyFill="1" applyBorder="1" applyAlignment="1" applyProtection="1">
      <alignment horizontal="center"/>
    </xf>
    <xf numFmtId="16" fontId="8" fillId="0" borderId="5" xfId="0" applyNumberFormat="1" applyFont="1" applyBorder="1" applyAlignment="1">
      <alignment horizontal="center"/>
    </xf>
    <xf numFmtId="37" fontId="8" fillId="0" borderId="20" xfId="0" applyNumberFormat="1" applyFont="1" applyBorder="1"/>
    <xf numFmtId="0" fontId="8" fillId="0" borderId="54" xfId="0" applyFont="1" applyBorder="1"/>
    <xf numFmtId="16" fontId="8" fillId="0" borderId="12" xfId="0" applyNumberFormat="1" applyFont="1" applyBorder="1" applyAlignment="1">
      <alignment horizontal="center"/>
    </xf>
    <xf numFmtId="37" fontId="8" fillId="0" borderId="12" xfId="0" applyNumberFormat="1" applyFont="1" applyBorder="1"/>
    <xf numFmtId="168" fontId="8" fillId="0" borderId="12" xfId="8" applyNumberFormat="1" applyFont="1" applyBorder="1" applyAlignment="1" applyProtection="1">
      <alignment horizontal="center"/>
    </xf>
    <xf numFmtId="37" fontId="8" fillId="0" borderId="54" xfId="0" applyNumberFormat="1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168" fontId="8" fillId="0" borderId="0" xfId="8" applyNumberFormat="1" applyFont="1" applyBorder="1" applyAlignment="1" applyProtection="1">
      <alignment horizontal="center"/>
    </xf>
    <xf numFmtId="37" fontId="8" fillId="0" borderId="0" xfId="0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37" fontId="8" fillId="0" borderId="4" xfId="0" applyNumberFormat="1" applyFont="1" applyBorder="1"/>
    <xf numFmtId="168" fontId="8" fillId="0" borderId="4" xfId="8" applyNumberFormat="1" applyFont="1" applyBorder="1" applyAlignment="1" applyProtection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9" xfId="0" applyNumberFormat="1" applyFont="1" applyBorder="1"/>
    <xf numFmtId="0" fontId="8" fillId="0" borderId="33" xfId="0" applyFont="1" applyBorder="1"/>
    <xf numFmtId="0" fontId="8" fillId="0" borderId="29" xfId="0" applyFont="1" applyBorder="1"/>
    <xf numFmtId="0" fontId="8" fillId="0" borderId="40" xfId="0" applyFont="1" applyBorder="1"/>
    <xf numFmtId="0" fontId="8" fillId="0" borderId="42" xfId="0" applyFont="1" applyBorder="1"/>
    <xf numFmtId="0" fontId="9" fillId="0" borderId="5" xfId="0" quotePrefix="1" applyFont="1" applyBorder="1" applyAlignment="1">
      <alignment horizontal="center"/>
    </xf>
    <xf numFmtId="10" fontId="8" fillId="0" borderId="0" xfId="8" applyNumberFormat="1" applyFont="1" applyProtection="1"/>
    <xf numFmtId="10" fontId="8" fillId="0" borderId="19" xfId="8" applyNumberFormat="1" applyFont="1" applyBorder="1" applyProtection="1"/>
    <xf numFmtId="37" fontId="9" fillId="0" borderId="50" xfId="0" applyNumberFormat="1" applyFont="1" applyBorder="1"/>
    <xf numFmtId="37" fontId="9" fillId="0" borderId="19" xfId="0" applyNumberFormat="1" applyFont="1" applyBorder="1"/>
    <xf numFmtId="0" fontId="8" fillId="0" borderId="8" xfId="0" applyFont="1" applyBorder="1"/>
    <xf numFmtId="37" fontId="8" fillId="0" borderId="21" xfId="0" applyNumberFormat="1" applyFont="1" applyBorder="1"/>
    <xf numFmtId="0" fontId="9" fillId="3" borderId="33" xfId="0" applyFont="1" applyFill="1" applyBorder="1" applyAlignment="1">
      <alignment horizontal="centerContinuous"/>
    </xf>
    <xf numFmtId="0" fontId="9" fillId="3" borderId="52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8" fillId="0" borderId="53" xfId="0" applyFont="1" applyBorder="1"/>
    <xf numFmtId="3" fontId="8" fillId="0" borderId="19" xfId="0" applyNumberFormat="1" applyFont="1" applyBorder="1"/>
    <xf numFmtId="0" fontId="9" fillId="0" borderId="36" xfId="0" applyFont="1" applyBorder="1"/>
    <xf numFmtId="3" fontId="8" fillId="0" borderId="43" xfId="0" applyNumberFormat="1" applyFont="1" applyBorder="1"/>
    <xf numFmtId="9" fontId="8" fillId="0" borderId="36" xfId="0" quotePrefix="1" applyNumberFormat="1" applyFont="1" applyBorder="1"/>
    <xf numFmtId="3" fontId="8" fillId="0" borderId="26" xfId="0" applyNumberFormat="1" applyFont="1" applyBorder="1"/>
    <xf numFmtId="9" fontId="8" fillId="0" borderId="36" xfId="0" quotePrefix="1" applyNumberFormat="1" applyFont="1" applyBorder="1" applyAlignment="1">
      <alignment horizontal="left"/>
    </xf>
    <xf numFmtId="3" fontId="8" fillId="0" borderId="14" xfId="0" applyNumberFormat="1" applyFont="1" applyBorder="1"/>
    <xf numFmtId="9" fontId="8" fillId="0" borderId="36" xfId="0" applyNumberFormat="1" applyFont="1" applyBorder="1"/>
    <xf numFmtId="0" fontId="8" fillId="0" borderId="18" xfId="0" applyFont="1" applyBorder="1"/>
    <xf numFmtId="3" fontId="9" fillId="0" borderId="22" xfId="0" applyNumberFormat="1" applyFont="1" applyBorder="1"/>
    <xf numFmtId="3" fontId="9" fillId="0" borderId="14" xfId="0" applyNumberFormat="1" applyFont="1" applyBorder="1"/>
    <xf numFmtId="3" fontId="9" fillId="0" borderId="5" xfId="0" applyNumberFormat="1" applyFont="1" applyBorder="1"/>
    <xf numFmtId="3" fontId="9" fillId="0" borderId="17" xfId="0" applyNumberFormat="1" applyFont="1" applyBorder="1"/>
    <xf numFmtId="3" fontId="9" fillId="0" borderId="20" xfId="0" applyNumberFormat="1" applyFont="1" applyBorder="1"/>
    <xf numFmtId="0" fontId="8" fillId="0" borderId="49" xfId="0" applyFont="1" applyBorder="1"/>
    <xf numFmtId="3" fontId="8" fillId="0" borderId="31" xfId="0" applyNumberFormat="1" applyFont="1" applyBorder="1"/>
    <xf numFmtId="3" fontId="8" fillId="0" borderId="6" xfId="0" applyNumberFormat="1" applyFont="1" applyBorder="1"/>
    <xf numFmtId="3" fontId="8" fillId="0" borderId="21" xfId="0" applyNumberFormat="1" applyFon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9" xfId="0" applyNumberFormat="1" applyFont="1" applyBorder="1"/>
    <xf numFmtId="0" fontId="8" fillId="2" borderId="29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24" xfId="0" applyFont="1" applyBorder="1"/>
    <xf numFmtId="0" fontId="9" fillId="0" borderId="30" xfId="0" applyFont="1" applyBorder="1"/>
    <xf numFmtId="0" fontId="11" fillId="0" borderId="1" xfId="0" applyFont="1" applyBorder="1"/>
    <xf numFmtId="0" fontId="8" fillId="0" borderId="14" xfId="0" applyFont="1" applyBorder="1" applyAlignment="1">
      <alignment horizontal="center"/>
    </xf>
    <xf numFmtId="0" fontId="9" fillId="0" borderId="19" xfId="0" applyFont="1" applyBorder="1"/>
    <xf numFmtId="0" fontId="8" fillId="0" borderId="1" xfId="0" applyFont="1" applyBorder="1" applyAlignment="1">
      <alignment horizontal="left"/>
    </xf>
    <xf numFmtId="166" fontId="19" fillId="0" borderId="14" xfId="0" quotePrefix="1" applyNumberFormat="1" applyFont="1" applyBorder="1" applyAlignment="1">
      <alignment horizontal="center"/>
    </xf>
    <xf numFmtId="166" fontId="8" fillId="0" borderId="14" xfId="0" applyNumberFormat="1" applyFont="1" applyBorder="1"/>
    <xf numFmtId="166" fontId="19" fillId="0" borderId="5" xfId="0" quotePrefix="1" applyNumberFormat="1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1" xfId="0" applyFont="1" applyBorder="1"/>
    <xf numFmtId="0" fontId="8" fillId="0" borderId="21" xfId="0" applyFont="1" applyBorder="1"/>
    <xf numFmtId="0" fontId="20" fillId="0" borderId="0" xfId="12" applyFont="1" applyAlignment="1" applyProtection="1">
      <alignment horizontal="center"/>
      <protection locked="0"/>
    </xf>
    <xf numFmtId="3" fontId="20" fillId="0" borderId="0" xfId="12" applyNumberFormat="1" applyFont="1" applyProtection="1">
      <protection locked="0"/>
    </xf>
    <xf numFmtId="0" fontId="20" fillId="0" borderId="0" xfId="12" applyFont="1" applyProtection="1">
      <protection locked="0"/>
    </xf>
    <xf numFmtId="0" fontId="20" fillId="0" borderId="0" xfId="12" applyFont="1" applyAlignment="1">
      <alignment horizontal="center"/>
    </xf>
    <xf numFmtId="3" fontId="20" fillId="0" borderId="0" xfId="12" applyNumberFormat="1" applyFont="1"/>
    <xf numFmtId="0" fontId="20" fillId="0" borderId="0" xfId="12" applyFont="1"/>
    <xf numFmtId="3" fontId="21" fillId="9" borderId="26" xfId="12" applyNumberFormat="1" applyFont="1" applyFill="1" applyBorder="1" applyAlignment="1">
      <alignment horizontal="center"/>
    </xf>
    <xf numFmtId="3" fontId="21" fillId="9" borderId="35" xfId="12" applyNumberFormat="1" applyFont="1" applyFill="1" applyBorder="1"/>
    <xf numFmtId="3" fontId="21" fillId="9" borderId="38" xfId="12" applyNumberFormat="1" applyFont="1" applyFill="1" applyBorder="1" applyAlignment="1">
      <alignment horizontal="center"/>
    </xf>
    <xf numFmtId="0" fontId="20" fillId="0" borderId="14" xfId="12" applyFont="1" applyBorder="1"/>
    <xf numFmtId="3" fontId="20" fillId="0" borderId="7" xfId="12" applyNumberFormat="1" applyFont="1" applyBorder="1"/>
    <xf numFmtId="3" fontId="20" fillId="0" borderId="5" xfId="12" applyNumberFormat="1" applyFont="1" applyBorder="1"/>
    <xf numFmtId="169" fontId="20" fillId="0" borderId="5" xfId="13" applyNumberFormat="1" applyFont="1" applyFill="1" applyBorder="1" applyAlignment="1" applyProtection="1"/>
    <xf numFmtId="3" fontId="20" fillId="11" borderId="0" xfId="12" applyNumberFormat="1" applyFont="1" applyFill="1"/>
    <xf numFmtId="3" fontId="20" fillId="11" borderId="7" xfId="12" applyNumberFormat="1" applyFont="1" applyFill="1" applyBorder="1"/>
    <xf numFmtId="0" fontId="20" fillId="0" borderId="14" xfId="12" applyFont="1" applyBorder="1" applyAlignment="1">
      <alignment horizontal="center"/>
    </xf>
    <xf numFmtId="0" fontId="20" fillId="0" borderId="14" xfId="12" quotePrefix="1" applyFont="1" applyBorder="1" applyAlignment="1">
      <alignment horizontal="center"/>
    </xf>
    <xf numFmtId="3" fontId="20" fillId="0" borderId="12" xfId="12" applyNumberFormat="1" applyFont="1" applyBorder="1"/>
    <xf numFmtId="3" fontId="21" fillId="12" borderId="5" xfId="12" applyNumberFormat="1" applyFont="1" applyFill="1" applyBorder="1"/>
    <xf numFmtId="169" fontId="21" fillId="12" borderId="12" xfId="13" applyNumberFormat="1" applyFont="1" applyFill="1" applyBorder="1" applyAlignment="1" applyProtection="1"/>
    <xf numFmtId="0" fontId="20" fillId="0" borderId="15" xfId="12" applyFont="1" applyBorder="1"/>
    <xf numFmtId="3" fontId="20" fillId="0" borderId="10" xfId="12" applyNumberFormat="1" applyFont="1" applyBorder="1"/>
    <xf numFmtId="3" fontId="20" fillId="0" borderId="13" xfId="12" applyNumberFormat="1" applyFont="1" applyBorder="1"/>
    <xf numFmtId="0" fontId="20" fillId="0" borderId="7" xfId="12" applyFont="1" applyBorder="1"/>
    <xf numFmtId="169" fontId="20" fillId="0" borderId="12" xfId="13" applyNumberFormat="1" applyFont="1" applyFill="1" applyBorder="1" applyAlignment="1" applyProtection="1"/>
    <xf numFmtId="3" fontId="21" fillId="12" borderId="12" xfId="12" applyNumberFormat="1" applyFont="1" applyFill="1" applyBorder="1"/>
    <xf numFmtId="3" fontId="22" fillId="0" borderId="7" xfId="12" applyNumberFormat="1" applyFont="1" applyBorder="1"/>
    <xf numFmtId="0" fontId="20" fillId="0" borderId="14" xfId="12" applyFont="1" applyBorder="1" applyAlignment="1">
      <alignment horizontal="center" vertical="center"/>
    </xf>
    <xf numFmtId="0" fontId="20" fillId="0" borderId="7" xfId="12" applyFont="1" applyBorder="1" applyAlignment="1">
      <alignment horizontal="center"/>
    </xf>
    <xf numFmtId="3" fontId="20" fillId="11" borderId="0" xfId="12" applyNumberFormat="1" applyFont="1" applyFill="1" applyAlignment="1">
      <alignment horizontal="center" vertical="center"/>
    </xf>
    <xf numFmtId="0" fontId="21" fillId="12" borderId="1" xfId="12" applyFont="1" applyFill="1" applyBorder="1"/>
    <xf numFmtId="0" fontId="20" fillId="12" borderId="0" xfId="12" applyFont="1" applyFill="1"/>
    <xf numFmtId="0" fontId="20" fillId="12" borderId="7" xfId="12" applyFont="1" applyFill="1" applyBorder="1"/>
    <xf numFmtId="3" fontId="20" fillId="12" borderId="5" xfId="12" applyNumberFormat="1" applyFont="1" applyFill="1" applyBorder="1"/>
    <xf numFmtId="3" fontId="20" fillId="11" borderId="10" xfId="12" applyNumberFormat="1" applyFont="1" applyFill="1" applyBorder="1"/>
    <xf numFmtId="3" fontId="20" fillId="11" borderId="13" xfId="12" applyNumberFormat="1" applyFont="1" applyFill="1" applyBorder="1"/>
    <xf numFmtId="0" fontId="9" fillId="0" borderId="0" xfId="7" applyFont="1" applyAlignment="1">
      <alignment horizontal="left"/>
    </xf>
    <xf numFmtId="0" fontId="8" fillId="4" borderId="33" xfId="7" applyFont="1" applyFill="1" applyBorder="1"/>
    <xf numFmtId="0" fontId="8" fillId="4" borderId="32" xfId="7" applyFont="1" applyFill="1" applyBorder="1"/>
    <xf numFmtId="166" fontId="9" fillId="4" borderId="40" xfId="7" applyNumberFormat="1" applyFont="1" applyFill="1" applyBorder="1" applyAlignment="1">
      <alignment horizontal="center"/>
    </xf>
    <xf numFmtId="166" fontId="8" fillId="4" borderId="42" xfId="7" applyNumberFormat="1" applyFont="1" applyFill="1" applyBorder="1"/>
    <xf numFmtId="0" fontId="8" fillId="4" borderId="41" xfId="7" applyFont="1" applyFill="1" applyBorder="1"/>
    <xf numFmtId="0" fontId="8" fillId="4" borderId="10" xfId="7" applyFont="1" applyFill="1" applyBorder="1"/>
    <xf numFmtId="166" fontId="9" fillId="4" borderId="12" xfId="7" applyNumberFormat="1" applyFont="1" applyFill="1" applyBorder="1" applyAlignment="1">
      <alignment horizontal="center"/>
    </xf>
    <xf numFmtId="166" fontId="9" fillId="4" borderId="18" xfId="7" applyNumberFormat="1" applyFont="1" applyFill="1" applyBorder="1" applyAlignment="1">
      <alignment horizontal="center"/>
    </xf>
    <xf numFmtId="0" fontId="8" fillId="0" borderId="1" xfId="7" applyFont="1" applyBorder="1"/>
    <xf numFmtId="0" fontId="8" fillId="0" borderId="0" xfId="7" applyFont="1"/>
    <xf numFmtId="166" fontId="8" fillId="0" borderId="5" xfId="7" applyNumberFormat="1" applyFont="1" applyBorder="1"/>
    <xf numFmtId="166" fontId="8" fillId="0" borderId="19" xfId="7" applyNumberFormat="1" applyFont="1" applyBorder="1"/>
    <xf numFmtId="0" fontId="9" fillId="0" borderId="0" xfId="7" applyFont="1"/>
    <xf numFmtId="166" fontId="8" fillId="0" borderId="12" xfId="7" applyNumberFormat="1" applyFont="1" applyBorder="1"/>
    <xf numFmtId="166" fontId="8" fillId="0" borderId="18" xfId="7" applyNumberFormat="1" applyFont="1" applyBorder="1"/>
    <xf numFmtId="0" fontId="9" fillId="0" borderId="1" xfId="7" applyFont="1" applyBorder="1"/>
    <xf numFmtId="166" fontId="9" fillId="0" borderId="17" xfId="7" applyNumberFormat="1" applyFont="1" applyBorder="1"/>
    <xf numFmtId="166" fontId="9" fillId="0" borderId="20" xfId="7" applyNumberFormat="1" applyFont="1" applyBorder="1"/>
    <xf numFmtId="166" fontId="9" fillId="0" borderId="5" xfId="7" applyNumberFormat="1" applyFont="1" applyBorder="1"/>
    <xf numFmtId="166" fontId="9" fillId="0" borderId="19" xfId="7" applyNumberFormat="1" applyFont="1" applyBorder="1"/>
    <xf numFmtId="0" fontId="8" fillId="0" borderId="3" xfId="7" applyFont="1" applyBorder="1"/>
    <xf numFmtId="0" fontId="9" fillId="0" borderId="4" xfId="7" applyFont="1" applyBorder="1"/>
    <xf numFmtId="166" fontId="8" fillId="0" borderId="6" xfId="7" applyNumberFormat="1" applyFont="1" applyBorder="1"/>
    <xf numFmtId="166" fontId="8" fillId="0" borderId="21" xfId="7" applyNumberFormat="1" applyFont="1" applyBorder="1"/>
    <xf numFmtId="0" fontId="9" fillId="3" borderId="37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0" fontId="21" fillId="13" borderId="7" xfId="14" applyNumberFormat="1" applyFont="1" applyFill="1" applyBorder="1" applyAlignment="1" applyProtection="1">
      <alignment horizontal="center" vertical="center"/>
    </xf>
    <xf numFmtId="0" fontId="21" fillId="12" borderId="14" xfId="12" applyFont="1" applyFill="1" applyBorder="1"/>
    <xf numFmtId="0" fontId="21" fillId="12" borderId="0" xfId="12" applyFont="1" applyFill="1"/>
    <xf numFmtId="0" fontId="21" fillId="12" borderId="7" xfId="12" applyFont="1" applyFill="1" applyBorder="1"/>
    <xf numFmtId="0" fontId="21" fillId="0" borderId="14" xfId="12" applyFont="1" applyBorder="1"/>
    <xf numFmtId="0" fontId="21" fillId="0" borderId="0" xfId="12" applyFont="1"/>
    <xf numFmtId="0" fontId="21" fillId="0" borderId="7" xfId="12" applyFont="1" applyBorder="1"/>
    <xf numFmtId="0" fontId="21" fillId="9" borderId="37" xfId="12" applyFont="1" applyFill="1" applyBorder="1" applyAlignment="1">
      <alignment horizontal="center"/>
    </xf>
    <xf numFmtId="0" fontId="21" fillId="9" borderId="35" xfId="12" applyFont="1" applyFill="1" applyBorder="1" applyAlignment="1">
      <alignment horizontal="center"/>
    </xf>
    <xf numFmtId="0" fontId="21" fillId="9" borderId="38" xfId="12" applyFont="1" applyFill="1" applyBorder="1" applyAlignment="1">
      <alignment horizontal="center"/>
    </xf>
    <xf numFmtId="3" fontId="21" fillId="12" borderId="14" xfId="12" applyNumberFormat="1" applyFont="1" applyFill="1" applyBorder="1"/>
    <xf numFmtId="3" fontId="21" fillId="12" borderId="0" xfId="12" applyNumberFormat="1" applyFont="1" applyFill="1"/>
    <xf numFmtId="3" fontId="21" fillId="12" borderId="7" xfId="12" applyNumberFormat="1" applyFont="1" applyFill="1" applyBorder="1"/>
    <xf numFmtId="3" fontId="21" fillId="0" borderId="0" xfId="12" applyNumberFormat="1" applyFont="1" applyAlignment="1">
      <alignment horizontal="center" vertical="center"/>
    </xf>
    <xf numFmtId="3" fontId="20" fillId="0" borderId="0" xfId="12" applyNumberFormat="1" applyFont="1" applyAlignment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quotePrefix="1" applyFont="1" applyAlignment="1" applyProtection="1">
      <alignment horizontal="left"/>
    </xf>
    <xf numFmtId="0" fontId="8" fillId="0" borderId="24" xfId="0" applyFont="1" applyBorder="1" applyProtection="1"/>
    <xf numFmtId="0" fontId="8" fillId="0" borderId="25" xfId="0" applyFont="1" applyBorder="1" applyAlignment="1" applyProtection="1">
      <alignment horizontal="centerContinuous"/>
    </xf>
    <xf numFmtId="0" fontId="8" fillId="0" borderId="22" xfId="0" applyFont="1" applyBorder="1" applyAlignment="1" applyProtection="1">
      <alignment horizontal="centerContinuous"/>
    </xf>
    <xf numFmtId="0" fontId="9" fillId="3" borderId="37" xfId="0" applyFont="1" applyFill="1" applyBorder="1" applyAlignment="1" applyProtection="1">
      <alignment horizontal="center"/>
    </xf>
    <xf numFmtId="0" fontId="9" fillId="3" borderId="35" xfId="0" applyFont="1" applyFill="1" applyBorder="1" applyAlignment="1" applyProtection="1">
      <alignment horizontal="center"/>
    </xf>
    <xf numFmtId="0" fontId="9" fillId="3" borderId="38" xfId="0" applyFont="1" applyFill="1" applyBorder="1" applyAlignment="1" applyProtection="1">
      <alignment horizontal="center"/>
    </xf>
    <xf numFmtId="0" fontId="9" fillId="4" borderId="37" xfId="0" applyFont="1" applyFill="1" applyBorder="1" applyAlignment="1" applyProtection="1">
      <alignment horizontal="center"/>
    </xf>
    <xf numFmtId="0" fontId="9" fillId="4" borderId="35" xfId="0" applyFont="1" applyFill="1" applyBorder="1" applyAlignment="1" applyProtection="1">
      <alignment horizontal="center"/>
    </xf>
    <xf numFmtId="0" fontId="9" fillId="4" borderId="38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Continuous"/>
    </xf>
    <xf numFmtId="166" fontId="9" fillId="3" borderId="22" xfId="0" applyNumberFormat="1" applyFont="1" applyFill="1" applyBorder="1" applyAlignment="1" applyProtection="1">
      <alignment horizontal="center"/>
    </xf>
    <xf numFmtId="166" fontId="9" fillId="3" borderId="23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9" fillId="4" borderId="22" xfId="0" applyFont="1" applyFill="1" applyBorder="1" applyAlignment="1" applyProtection="1">
      <alignment horizontal="centerContinuous"/>
    </xf>
    <xf numFmtId="166" fontId="9" fillId="4" borderId="25" xfId="0" applyNumberFormat="1" applyFont="1" applyFill="1" applyBorder="1" applyAlignment="1" applyProtection="1">
      <alignment horizontal="center"/>
    </xf>
    <xf numFmtId="166" fontId="9" fillId="4" borderId="22" xfId="0" applyNumberFormat="1" applyFont="1" applyFill="1" applyBorder="1" applyAlignment="1" applyProtection="1">
      <alignment horizontal="center"/>
    </xf>
    <xf numFmtId="166" fontId="9" fillId="4" borderId="23" xfId="0" applyNumberFormat="1" applyFont="1" applyFill="1" applyBorder="1" applyAlignment="1" applyProtection="1">
      <alignment horizontal="center"/>
    </xf>
    <xf numFmtId="0" fontId="9" fillId="2" borderId="15" xfId="0" applyFont="1" applyFill="1" applyBorder="1" applyAlignment="1" applyProtection="1">
      <alignment horizontal="centerContinuous"/>
    </xf>
    <xf numFmtId="0" fontId="9" fillId="2" borderId="10" xfId="0" applyFont="1" applyFill="1" applyBorder="1" applyAlignment="1" applyProtection="1">
      <alignment horizontal="centerContinuous"/>
    </xf>
    <xf numFmtId="0" fontId="9" fillId="2" borderId="12" xfId="0" applyFont="1" applyFill="1" applyBorder="1" applyAlignment="1" applyProtection="1">
      <alignment horizontal="centerContinuous"/>
    </xf>
    <xf numFmtId="38" fontId="9" fillId="3" borderId="12" xfId="0" applyNumberFormat="1" applyFont="1" applyFill="1" applyBorder="1" applyAlignment="1" applyProtection="1">
      <alignment horizontal="centerContinuous"/>
    </xf>
    <xf numFmtId="166" fontId="9" fillId="3" borderId="12" xfId="0" applyNumberFormat="1" applyFont="1" applyFill="1" applyBorder="1" applyAlignment="1" applyProtection="1">
      <alignment horizontal="center"/>
    </xf>
    <xf numFmtId="38" fontId="9" fillId="4" borderId="12" xfId="0" applyNumberFormat="1" applyFont="1" applyFill="1" applyBorder="1" applyAlignment="1" applyProtection="1">
      <alignment horizontal="centerContinuous"/>
    </xf>
    <xf numFmtId="166" fontId="9" fillId="4" borderId="12" xfId="0" applyNumberFormat="1" applyFont="1" applyFill="1" applyBorder="1" applyAlignment="1" applyProtection="1">
      <alignment horizontal="center"/>
    </xf>
    <xf numFmtId="0" fontId="8" fillId="0" borderId="14" xfId="0" applyFont="1" applyBorder="1" applyProtection="1"/>
    <xf numFmtId="3" fontId="8" fillId="0" borderId="22" xfId="0" applyNumberFormat="1" applyFont="1" applyBorder="1" applyAlignment="1" applyProtection="1">
      <alignment horizontal="center"/>
    </xf>
    <xf numFmtId="166" fontId="8" fillId="0" borderId="5" xfId="0" applyNumberFormat="1" applyFont="1" applyBorder="1" applyProtection="1"/>
    <xf numFmtId="166" fontId="8" fillId="0" borderId="7" xfId="0" applyNumberFormat="1" applyFont="1" applyBorder="1" applyProtection="1"/>
    <xf numFmtId="0" fontId="8" fillId="0" borderId="5" xfId="0" applyFont="1" applyBorder="1" applyProtection="1"/>
    <xf numFmtId="166" fontId="8" fillId="0" borderId="0" xfId="0" applyNumberFormat="1" applyFont="1" applyProtection="1"/>
    <xf numFmtId="0" fontId="9" fillId="0" borderId="14" xfId="0" applyFont="1" applyBorder="1" applyProtection="1"/>
    <xf numFmtId="3" fontId="8" fillId="0" borderId="5" xfId="0" applyNumberFormat="1" applyFont="1" applyBorder="1" applyAlignment="1" applyProtection="1">
      <alignment horizontal="center"/>
    </xf>
    <xf numFmtId="166" fontId="8" fillId="10" borderId="5" xfId="0" applyNumberFormat="1" applyFont="1" applyFill="1" applyBorder="1" applyProtection="1"/>
    <xf numFmtId="166" fontId="8" fillId="0" borderId="12" xfId="0" applyNumberFormat="1" applyFont="1" applyBorder="1" applyProtection="1"/>
    <xf numFmtId="166" fontId="8" fillId="10" borderId="12" xfId="0" applyNumberFormat="1" applyFont="1" applyFill="1" applyBorder="1" applyProtection="1"/>
    <xf numFmtId="166" fontId="8" fillId="0" borderId="10" xfId="0" applyNumberFormat="1" applyFont="1" applyBorder="1" applyProtection="1"/>
    <xf numFmtId="3" fontId="8" fillId="0" borderId="26" xfId="0" applyNumberFormat="1" applyFont="1" applyBorder="1" applyAlignment="1" applyProtection="1">
      <alignment horizontal="center"/>
    </xf>
    <xf numFmtId="166" fontId="8" fillId="0" borderId="26" xfId="0" applyNumberFormat="1" applyFont="1" applyBorder="1" applyProtection="1"/>
    <xf numFmtId="3" fontId="8" fillId="0" borderId="5" xfId="0" applyNumberFormat="1" applyFont="1" applyBorder="1" applyProtection="1"/>
    <xf numFmtId="0" fontId="8" fillId="0" borderId="14" xfId="0" applyFont="1" applyBorder="1" applyAlignment="1" applyProtection="1">
      <alignment horizontal="left"/>
    </xf>
    <xf numFmtId="166" fontId="8" fillId="0" borderId="13" xfId="0" applyNumberFormat="1" applyFont="1" applyBorder="1" applyProtection="1"/>
    <xf numFmtId="0" fontId="9" fillId="0" borderId="15" xfId="0" applyFont="1" applyBorder="1" applyProtection="1"/>
    <xf numFmtId="0" fontId="8" fillId="0" borderId="10" xfId="0" applyFont="1" applyBorder="1" applyProtection="1"/>
    <xf numFmtId="3" fontId="8" fillId="0" borderId="12" xfId="0" applyNumberFormat="1" applyFont="1" applyBorder="1" applyAlignment="1" applyProtection="1">
      <alignment horizontal="center"/>
    </xf>
    <xf numFmtId="166" fontId="9" fillId="0" borderId="12" xfId="0" applyNumberFormat="1" applyFont="1" applyBorder="1" applyProtection="1"/>
    <xf numFmtId="0" fontId="9" fillId="0" borderId="22" xfId="0" applyFont="1" applyBorder="1" applyAlignment="1" applyProtection="1">
      <alignment horizontal="center"/>
    </xf>
    <xf numFmtId="0" fontId="9" fillId="0" borderId="0" xfId="0" applyFont="1" applyProtection="1"/>
    <xf numFmtId="0" fontId="9" fillId="0" borderId="12" xfId="0" applyFont="1" applyBorder="1" applyAlignment="1" applyProtection="1">
      <alignment horizontal="center"/>
    </xf>
    <xf numFmtId="0" fontId="19" fillId="0" borderId="0" xfId="0" applyFont="1" applyProtection="1"/>
    <xf numFmtId="166" fontId="9" fillId="0" borderId="17" xfId="0" applyNumberFormat="1" applyFont="1" applyBorder="1" applyProtection="1"/>
    <xf numFmtId="166" fontId="9" fillId="0" borderId="0" xfId="0" applyNumberFormat="1" applyFont="1" applyProtection="1"/>
  </cellXfs>
  <cellStyles count="15">
    <cellStyle name="Comma [0]" xfId="1" xr:uid="{00000000-0005-0000-0000-000000000000}"/>
    <cellStyle name="Comma_Ejercicio Declaración de Renta 2005" xfId="2" xr:uid="{00000000-0005-0000-0000-000001000000}"/>
    <cellStyle name="Currency [0]" xfId="3" xr:uid="{00000000-0005-0000-0000-000002000000}"/>
    <cellStyle name="Estilo 1" xfId="4" xr:uid="{00000000-0005-0000-0000-000003000000}"/>
    <cellStyle name="Euro" xfId="5" xr:uid="{00000000-0005-0000-0000-000004000000}"/>
    <cellStyle name="Hipervínculo_FORMULARIO RENTA 2003" xfId="6" xr:uid="{00000000-0005-0000-0000-000005000000}"/>
    <cellStyle name="Millares" xfId="9" builtinId="3"/>
    <cellStyle name="Millares 2" xfId="13" xr:uid="{1BCE65B1-7B79-481D-B395-2C548F90EAC4}"/>
    <cellStyle name="Normal" xfId="0" builtinId="0"/>
    <cellStyle name="Normal 2" xfId="7" xr:uid="{00000000-0005-0000-0000-000009000000}"/>
    <cellStyle name="Normal 3" xfId="10" xr:uid="{00000000-0005-0000-0000-00000A000000}"/>
    <cellStyle name="Normal 4" xfId="12" xr:uid="{7920F2AF-5917-4EB1-8BEC-C74F48B9E2DE}"/>
    <cellStyle name="Porcentaje" xfId="8" builtinId="5"/>
    <cellStyle name="Porcentaje 2" xfId="11" xr:uid="{00000000-0005-0000-0000-00000C000000}"/>
    <cellStyle name="Porcentaje 3" xfId="14" xr:uid="{3123721A-840D-415E-BEF3-FE651BCFBFA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6CAF0"/>
      <color rgb="FF00B050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fbw0001\users\Documents%20and%20Settings\cocastroma\Escritorio\RUTH\DPA\WINDOWS\TEMP\DECLARCION%20RENTA%20DEF%202003%20DATALOG%2006-04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berto%20-%20Parte%201\Impuestos\Ejercicios\Renta%202013\Anexos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castroma\Configuraci&#243;n%20local\Archivos%20temporales%20de%20Internet\OLK14\Renta05P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ocastroma\Configuraci&#243;n%20local\Archivos%20temporales%20de%20Internet\OLK14\Renta05P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01\Impuestos\AR\RENTA\Nestl&#233;\Renta%2005\Planos%20Renta%2005\Nomina%20Nes%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FBW0000\Users\Ang&#233;lica%20Romero\RENTA\PURINA\Planos%20Renta%2005\Nomina%20Pur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CARÁTULA"/>
      <sheetName val="B-MENU"/>
      <sheetName val="C-INSTRUCCIONES"/>
      <sheetName val="1A- DATOS INICIALES"/>
      <sheetName val="1B- BALANCE"/>
      <sheetName val="2 DECLARACION"/>
      <sheetName val="3A CONTROLES"/>
      <sheetName val="3B-RESUMEN"/>
      <sheetName val="4 CÁLCULOS PRESUNT-ANTICIP."/>
      <sheetName val="5 CAMARA"/>
      <sheetName val="6 IMPTO PATRIMONIO"/>
      <sheetName val="7 SOCIOS O ACCIONISTAS"/>
      <sheetName val="8 Vrs. ABSOLUTOS"/>
    </sheetNames>
    <sheetDataSet>
      <sheetData sheetId="0"/>
      <sheetData sheetId="1"/>
      <sheetData sheetId="2"/>
      <sheetData sheetId="3" refreshError="1">
        <row r="75">
          <cell r="C75">
            <v>0</v>
          </cell>
        </row>
        <row r="112">
          <cell r="E112">
            <v>0</v>
          </cell>
        </row>
        <row r="115">
          <cell r="E115">
            <v>0</v>
          </cell>
        </row>
        <row r="116">
          <cell r="E116">
            <v>0</v>
          </cell>
        </row>
      </sheetData>
      <sheetData sheetId="4"/>
      <sheetData sheetId="5"/>
      <sheetData sheetId="6"/>
      <sheetData sheetId="7"/>
      <sheetData sheetId="8" refreshError="1">
        <row r="45">
          <cell r="D45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UNCIADO"/>
      <sheetName val="FORM RENTA"/>
      <sheetName val="ANEXOS"/>
      <sheetName val="BALANFISCAL"/>
      <sheetName val="CONCIPATRIM"/>
      <sheetName val="PYG FISCAL"/>
      <sheetName val="CONCIRENTA"/>
      <sheetName val="CONC RENTA-CREE"/>
      <sheetName val="INVERSIONES"/>
      <sheetName val="ACTIVOSFIJOS C"/>
      <sheetName val="ACTIVOSFIJOS F"/>
      <sheetName val="VTA ACT FIJOS, AFRP"/>
      <sheetName val="INGRESOS - GTOS LABORALES"/>
      <sheetName val="INTERESES"/>
      <sheetName val="PROVISIONES"/>
      <sheetName val="DONAC, EXT"/>
      <sheetName val="PERDIDAS, ANTICIPO"/>
      <sheetName val="PRESUNTIVA -DIVIDENDOS"/>
      <sheetName val="COMPAR PATRIM"/>
      <sheetName val="LIMITES"/>
    </sheetNames>
    <sheetDataSet>
      <sheetData sheetId="0"/>
      <sheetData sheetId="1">
        <row r="17">
          <cell r="R17">
            <v>293873000</v>
          </cell>
        </row>
      </sheetData>
      <sheetData sheetId="2"/>
      <sheetData sheetId="3">
        <row r="69">
          <cell r="I69">
            <v>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BASE"/>
      <sheetName val="FORMULARIO"/>
      <sheetName val="BALANCE"/>
      <sheetName val="GYP"/>
      <sheetName val="PATRIMONIO"/>
      <sheetName val="RENTA "/>
      <sheetName val="NOMINA DATOS"/>
      <sheetName val="CONPATRI"/>
      <sheetName val="CONRENTA "/>
      <sheetName val="INVERSION"/>
      <sheetName val="PROVISIONES"/>
      <sheetName val="CARTERA"/>
      <sheetName val="IMPUESTOS"/>
      <sheetName val="CORR.MONETARIA"/>
      <sheetName val="CORR.MONETARIA "/>
      <sheetName val="AUTORFTE"/>
      <sheetName val="PRESUNTIVA"/>
      <sheetName val="ANTICIPO"/>
      <sheetName val="ACTIVOS "/>
      <sheetName val="FACTURAS"/>
    </sheetNames>
    <sheetDataSet>
      <sheetData sheetId="0"/>
      <sheetData sheetId="1" refreshError="1"/>
      <sheetData sheetId="2">
        <row r="22">
          <cell r="R22">
            <v>2674731000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BASE"/>
      <sheetName val="FORMULARIO"/>
      <sheetName val="BALANCE"/>
      <sheetName val="GYP"/>
      <sheetName val="PATRIMONIO"/>
      <sheetName val="RENTA "/>
      <sheetName val="NOMINA DATOS"/>
      <sheetName val="CONPATRI"/>
      <sheetName val="CONRENTA "/>
      <sheetName val="INVERSION"/>
      <sheetName val="PROVISIONES"/>
      <sheetName val="CARTERA"/>
      <sheetName val="IMPUESTOS"/>
      <sheetName val="CORR.MONETARIA"/>
      <sheetName val="CORR.MONETARIA "/>
      <sheetName val="AUTORFTE"/>
      <sheetName val="PRESUNTIVA"/>
      <sheetName val="ANTICIPO"/>
      <sheetName val="ACTIVOS "/>
      <sheetName val="FACTURAS"/>
    </sheetNames>
    <sheetDataSet>
      <sheetData sheetId="0"/>
      <sheetData sheetId="1" refreshError="1"/>
      <sheetData sheetId="2">
        <row r="22">
          <cell r="R22">
            <v>2674731000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5105"/>
      <sheetName val="Cta5205"/>
      <sheetName val="Cta7305"/>
    </sheetNames>
    <sheetDataSet>
      <sheetData sheetId="0">
        <row r="587">
          <cell r="A587">
            <v>510503</v>
          </cell>
          <cell r="B587" t="str">
            <v>SALARIO INTEGRAL</v>
          </cell>
          <cell r="C587">
            <v>7403006444</v>
          </cell>
          <cell r="E587">
            <v>2545685888</v>
          </cell>
          <cell r="G587">
            <v>4857320556</v>
          </cell>
        </row>
        <row r="588">
          <cell r="A588">
            <v>510506</v>
          </cell>
          <cell r="B588" t="str">
            <v>SUELDO</v>
          </cell>
          <cell r="C588">
            <v>1596216915</v>
          </cell>
          <cell r="E588">
            <v>156404631</v>
          </cell>
          <cell r="G588">
            <v>1439812284</v>
          </cell>
        </row>
        <row r="589">
          <cell r="A589">
            <v>510524</v>
          </cell>
          <cell r="B589" t="str">
            <v>INCAPACIDAD ENFERMEDAD</v>
          </cell>
          <cell r="C589">
            <v>58143512</v>
          </cell>
          <cell r="E589">
            <v>16992410</v>
          </cell>
          <cell r="G589">
            <v>41151102</v>
          </cell>
        </row>
        <row r="590">
          <cell r="A590">
            <v>510527</v>
          </cell>
          <cell r="B590" t="str">
            <v>SUBSIDIO DE TRANSPORTE</v>
          </cell>
          <cell r="C590">
            <v>1033884</v>
          </cell>
          <cell r="E590">
            <v>247717</v>
          </cell>
          <cell r="G590">
            <v>786167</v>
          </cell>
        </row>
        <row r="591">
          <cell r="A591">
            <v>510530</v>
          </cell>
          <cell r="B591" t="str">
            <v>CESANTIAS</v>
          </cell>
          <cell r="C591">
            <v>172172540</v>
          </cell>
          <cell r="E591">
            <v>7216631</v>
          </cell>
          <cell r="G591">
            <v>164955909</v>
          </cell>
        </row>
        <row r="592">
          <cell r="A592">
            <v>510533</v>
          </cell>
          <cell r="B592" t="str">
            <v>INTERESES A LAS CESANTIAS</v>
          </cell>
          <cell r="C592">
            <v>18179539</v>
          </cell>
          <cell r="E592">
            <v>211912</v>
          </cell>
          <cell r="G592">
            <v>17967627</v>
          </cell>
        </row>
        <row r="593">
          <cell r="A593">
            <v>510536</v>
          </cell>
          <cell r="B593" t="str">
            <v>PRIMA DE SERVICIOS</v>
          </cell>
          <cell r="C593">
            <v>152532923</v>
          </cell>
          <cell r="E593">
            <v>6089487</v>
          </cell>
          <cell r="G593">
            <v>146443436</v>
          </cell>
        </row>
        <row r="594">
          <cell r="A594">
            <v>510539</v>
          </cell>
          <cell r="B594" t="str">
            <v>VACACIONES CAUSADAS</v>
          </cell>
          <cell r="C594">
            <v>476887633</v>
          </cell>
          <cell r="E594">
            <v>21245617</v>
          </cell>
          <cell r="G594">
            <v>455642016</v>
          </cell>
        </row>
        <row r="595">
          <cell r="A595">
            <v>510542</v>
          </cell>
          <cell r="B595" t="str">
            <v>PRIMA VOLUNTARIA</v>
          </cell>
          <cell r="C595">
            <v>437705729</v>
          </cell>
          <cell r="E595">
            <v>188910011</v>
          </cell>
          <cell r="G595">
            <v>248795718</v>
          </cell>
        </row>
        <row r="596">
          <cell r="A596">
            <v>510548</v>
          </cell>
          <cell r="B596" t="str">
            <v>BONIFICACION OCASIONAL</v>
          </cell>
          <cell r="C596">
            <v>5674932821</v>
          </cell>
          <cell r="E596">
            <v>2882340550</v>
          </cell>
          <cell r="G596">
            <v>2792592271</v>
          </cell>
        </row>
        <row r="597">
          <cell r="A597">
            <v>510554</v>
          </cell>
          <cell r="B597" t="str">
            <v>CAFESALUD</v>
          </cell>
          <cell r="C597">
            <v>401661035</v>
          </cell>
          <cell r="E597">
            <v>228710718</v>
          </cell>
          <cell r="G597">
            <v>172950317</v>
          </cell>
        </row>
        <row r="598">
          <cell r="A598">
            <v>510558</v>
          </cell>
          <cell r="B598" t="str">
            <v>AMORTIZAC PENSIONES JUBILACION</v>
          </cell>
          <cell r="C598">
            <v>381477811</v>
          </cell>
          <cell r="E598">
            <v>69359602</v>
          </cell>
          <cell r="G598">
            <v>312118209</v>
          </cell>
        </row>
        <row r="599">
          <cell r="A599">
            <v>510559</v>
          </cell>
          <cell r="B599" t="str">
            <v xml:space="preserve">PAGOS PERSONAL JUBILADO </v>
          </cell>
          <cell r="C599">
            <v>2097309251</v>
          </cell>
          <cell r="E599">
            <v>534965195</v>
          </cell>
          <cell r="G599">
            <v>1562344056</v>
          </cell>
        </row>
        <row r="600">
          <cell r="A600">
            <v>510560</v>
          </cell>
          <cell r="B600" t="str">
            <v>INDEMNIZAC</v>
          </cell>
          <cell r="C600">
            <v>8447834401</v>
          </cell>
          <cell r="E600">
            <v>2506480851</v>
          </cell>
          <cell r="G600">
            <v>5941353550</v>
          </cell>
        </row>
        <row r="601">
          <cell r="A601">
            <v>510563</v>
          </cell>
          <cell r="B601" t="str">
            <v>AUXILIO EDUCATIVO</v>
          </cell>
          <cell r="C601">
            <v>641449661</v>
          </cell>
          <cell r="E601">
            <v>153187223</v>
          </cell>
          <cell r="G601">
            <v>488262438</v>
          </cell>
        </row>
        <row r="602">
          <cell r="A602">
            <v>510566</v>
          </cell>
          <cell r="B602" t="str">
            <v>GAST ACTIVID DEPORT AL PERSONA</v>
          </cell>
          <cell r="C602">
            <v>1521785</v>
          </cell>
          <cell r="G602">
            <v>1521785</v>
          </cell>
        </row>
        <row r="603">
          <cell r="A603">
            <v>510568</v>
          </cell>
          <cell r="B603" t="str">
            <v>APORTES ARP</v>
          </cell>
          <cell r="C603">
            <v>24912200</v>
          </cell>
          <cell r="E603">
            <v>903100</v>
          </cell>
          <cell r="G603">
            <v>24009100</v>
          </cell>
        </row>
        <row r="604">
          <cell r="A604">
            <v>510569</v>
          </cell>
          <cell r="B604" t="str">
            <v>APORTES EPS</v>
          </cell>
          <cell r="C604">
            <v>525857987</v>
          </cell>
          <cell r="E604">
            <v>16839659</v>
          </cell>
          <cell r="G604">
            <v>509018328</v>
          </cell>
        </row>
        <row r="605">
          <cell r="A605">
            <v>510570</v>
          </cell>
          <cell r="B605" t="str">
            <v>APORTES FONDOS DE PENSIONES</v>
          </cell>
          <cell r="C605">
            <v>801044635</v>
          </cell>
          <cell r="E605">
            <v>25494852</v>
          </cell>
          <cell r="G605">
            <v>775549783</v>
          </cell>
        </row>
        <row r="606">
          <cell r="A606">
            <v>510572</v>
          </cell>
          <cell r="B606" t="str">
            <v>APORTES CAJA DE COMPENSACIÓN</v>
          </cell>
          <cell r="C606">
            <v>227632091</v>
          </cell>
          <cell r="E606">
            <v>8489634</v>
          </cell>
          <cell r="G606">
            <v>219142457</v>
          </cell>
        </row>
        <row r="607">
          <cell r="A607">
            <v>510575</v>
          </cell>
          <cell r="B607" t="str">
            <v>APORTES ICBF</v>
          </cell>
          <cell r="C607">
            <v>170724060</v>
          </cell>
          <cell r="E607">
            <v>6367225</v>
          </cell>
          <cell r="G607">
            <v>164356835</v>
          </cell>
        </row>
        <row r="608">
          <cell r="A608">
            <v>510578</v>
          </cell>
          <cell r="B608" t="str">
            <v>APORTES SENA</v>
          </cell>
          <cell r="C608">
            <v>113816043</v>
          </cell>
          <cell r="E608">
            <v>4244816</v>
          </cell>
          <cell r="G608">
            <v>109571227</v>
          </cell>
        </row>
        <row r="609">
          <cell r="A609">
            <v>510581</v>
          </cell>
          <cell r="B609" t="str">
            <v>AUXILIOS ASUNTOS SINDICALES</v>
          </cell>
          <cell r="C609">
            <v>985044</v>
          </cell>
          <cell r="E609">
            <v>985044</v>
          </cell>
        </row>
        <row r="610">
          <cell r="A610">
            <v>510584</v>
          </cell>
          <cell r="B610" t="str">
            <v>GASTOS PLAN DE SALUD</v>
          </cell>
          <cell r="C610">
            <v>105641383</v>
          </cell>
          <cell r="E610">
            <v>27962152</v>
          </cell>
          <cell r="G610">
            <v>77679231</v>
          </cell>
        </row>
        <row r="611">
          <cell r="A611">
            <v>510595</v>
          </cell>
          <cell r="B611" t="str">
            <v xml:space="preserve">OTROS AUX PNAL </v>
          </cell>
          <cell r="C611">
            <v>1316337616</v>
          </cell>
          <cell r="E611">
            <v>321205395</v>
          </cell>
          <cell r="G611">
            <v>995132221</v>
          </cell>
        </row>
      </sheetData>
      <sheetData sheetId="1">
        <row r="1775">
          <cell r="A1775">
            <v>520503</v>
          </cell>
          <cell r="B1775" t="str">
            <v>SALARIO INTEGRAL</v>
          </cell>
          <cell r="C1775">
            <v>5119384496</v>
          </cell>
          <cell r="E1775">
            <v>321730345</v>
          </cell>
          <cell r="G1775">
            <v>4797654151</v>
          </cell>
        </row>
        <row r="1776">
          <cell r="A1776">
            <v>520506</v>
          </cell>
          <cell r="B1776" t="str">
            <v>SUELDO</v>
          </cell>
          <cell r="C1776">
            <v>5558395323</v>
          </cell>
          <cell r="E1776">
            <v>802846795</v>
          </cell>
          <cell r="G1776">
            <v>4755548528</v>
          </cell>
        </row>
        <row r="1777">
          <cell r="A1777">
            <v>520524</v>
          </cell>
          <cell r="B1777" t="str">
            <v>INCAPACIDAD ENFERMEDAD</v>
          </cell>
          <cell r="C1777">
            <v>131038112</v>
          </cell>
          <cell r="E1777">
            <v>44822652</v>
          </cell>
          <cell r="G1777">
            <v>86215460</v>
          </cell>
        </row>
        <row r="1778">
          <cell r="A1778">
            <v>520527</v>
          </cell>
          <cell r="B1778" t="str">
            <v>SUBSIDIO DE TRANSPORTE</v>
          </cell>
          <cell r="C1778">
            <v>1143650</v>
          </cell>
          <cell r="E1778">
            <v>89000</v>
          </cell>
          <cell r="G1778">
            <v>1054650</v>
          </cell>
        </row>
        <row r="1779">
          <cell r="A1779">
            <v>520530</v>
          </cell>
          <cell r="B1779" t="str">
            <v>CESANTIAS</v>
          </cell>
          <cell r="C1779">
            <v>679499235</v>
          </cell>
          <cell r="E1779">
            <v>91466146</v>
          </cell>
          <cell r="G1779">
            <v>588033089</v>
          </cell>
        </row>
        <row r="1780">
          <cell r="A1780">
            <v>520533</v>
          </cell>
          <cell r="B1780" t="str">
            <v>INTERESES A LAS CESANTIAS</v>
          </cell>
          <cell r="C1780">
            <v>52408389</v>
          </cell>
          <cell r="E1780">
            <v>2549867</v>
          </cell>
          <cell r="G1780">
            <v>49858522</v>
          </cell>
        </row>
        <row r="1781">
          <cell r="A1781">
            <v>520536</v>
          </cell>
          <cell r="B1781" t="str">
            <v>PRIMA DE SERVICIOS</v>
          </cell>
          <cell r="C1781">
            <v>531859080</v>
          </cell>
          <cell r="E1781">
            <v>60439963</v>
          </cell>
          <cell r="G1781">
            <v>471419117</v>
          </cell>
        </row>
        <row r="1782">
          <cell r="A1782">
            <v>520539</v>
          </cell>
          <cell r="B1782" t="str">
            <v>VACACIONES CAUSADAS</v>
          </cell>
          <cell r="C1782">
            <v>630795571</v>
          </cell>
          <cell r="E1782">
            <v>78008942</v>
          </cell>
          <cell r="G1782">
            <v>552786629</v>
          </cell>
        </row>
        <row r="1783">
          <cell r="A1783">
            <v>520542</v>
          </cell>
          <cell r="B1783" t="str">
            <v>PRIMA VOLUNTARIA</v>
          </cell>
          <cell r="C1783">
            <v>1568559368</v>
          </cell>
          <cell r="E1783">
            <v>634016156</v>
          </cell>
          <cell r="G1783">
            <v>934543212</v>
          </cell>
        </row>
        <row r="1784">
          <cell r="A1784">
            <v>520545</v>
          </cell>
          <cell r="B1784" t="str">
            <v>AUXIL MTTO REP</v>
          </cell>
          <cell r="C1784">
            <v>416699304</v>
          </cell>
          <cell r="E1784">
            <v>35775025</v>
          </cell>
          <cell r="G1784">
            <v>380924279</v>
          </cell>
        </row>
        <row r="1785">
          <cell r="A1785">
            <v>520548</v>
          </cell>
          <cell r="B1785" t="str">
            <v>PRIMA DE EXPATRICION PERSONAL INTER</v>
          </cell>
          <cell r="C1785">
            <v>5453866145</v>
          </cell>
          <cell r="E1785">
            <v>3127339770</v>
          </cell>
          <cell r="G1785">
            <v>2326526375</v>
          </cell>
        </row>
        <row r="1786">
          <cell r="A1786">
            <v>520551</v>
          </cell>
          <cell r="B1786" t="str">
            <v xml:space="preserve">ROPA DE TRABAJO </v>
          </cell>
          <cell r="C1786">
            <v>1281537</v>
          </cell>
          <cell r="E1786">
            <v>386700</v>
          </cell>
          <cell r="G1786">
            <v>894837</v>
          </cell>
        </row>
        <row r="1787">
          <cell r="A1787">
            <v>520554</v>
          </cell>
          <cell r="B1787" t="str">
            <v>CAFESALUD</v>
          </cell>
          <cell r="C1787">
            <v>426249586</v>
          </cell>
          <cell r="E1787">
            <v>160776422</v>
          </cell>
          <cell r="G1787">
            <v>265473164</v>
          </cell>
        </row>
        <row r="1788">
          <cell r="A1788">
            <v>520560</v>
          </cell>
          <cell r="B1788" t="str">
            <v>INDEMNIZAC</v>
          </cell>
          <cell r="C1788">
            <v>92215930</v>
          </cell>
          <cell r="E1788">
            <v>49566513</v>
          </cell>
          <cell r="G1788">
            <v>42649417</v>
          </cell>
        </row>
        <row r="1789">
          <cell r="A1789">
            <v>520563</v>
          </cell>
          <cell r="B1789" t="str">
            <v>SEMINARIOS</v>
          </cell>
          <cell r="C1789">
            <v>640691442</v>
          </cell>
          <cell r="E1789">
            <v>63953408</v>
          </cell>
          <cell r="G1789">
            <v>576738034</v>
          </cell>
        </row>
        <row r="1790">
          <cell r="A1790">
            <v>520566</v>
          </cell>
          <cell r="B1790" t="str">
            <v>GAST ACTIVID DEPORT AL PERSONA</v>
          </cell>
          <cell r="C1790">
            <v>342000</v>
          </cell>
          <cell r="G1790">
            <v>342000</v>
          </cell>
        </row>
        <row r="1791">
          <cell r="A1791">
            <v>520568</v>
          </cell>
          <cell r="B1791" t="str">
            <v>APORTES ARP</v>
          </cell>
          <cell r="C1791">
            <v>76601782</v>
          </cell>
          <cell r="E1791">
            <v>7612350</v>
          </cell>
          <cell r="G1791">
            <v>68989432</v>
          </cell>
        </row>
        <row r="1792">
          <cell r="A1792">
            <v>520569</v>
          </cell>
          <cell r="B1792" t="str">
            <v>APORTES EPS</v>
          </cell>
          <cell r="C1792">
            <v>823432628</v>
          </cell>
          <cell r="E1792">
            <v>79611275</v>
          </cell>
          <cell r="G1792">
            <v>743821353</v>
          </cell>
        </row>
        <row r="1793">
          <cell r="A1793">
            <v>520570</v>
          </cell>
          <cell r="B1793" t="str">
            <v>APORTES FONDOS DE PENSIONES</v>
          </cell>
          <cell r="C1793">
            <v>1154772135</v>
          </cell>
          <cell r="E1793">
            <v>110853049</v>
          </cell>
          <cell r="G1793">
            <v>1043919086</v>
          </cell>
        </row>
        <row r="1794">
          <cell r="A1794">
            <v>520572</v>
          </cell>
          <cell r="B1794" t="str">
            <v>APORTES CAJA DE COMPENSACIÓN</v>
          </cell>
          <cell r="C1794">
            <v>422996269</v>
          </cell>
          <cell r="E1794">
            <v>40856001</v>
          </cell>
          <cell r="G1794">
            <v>382140268</v>
          </cell>
        </row>
        <row r="1795">
          <cell r="A1795">
            <v>520575</v>
          </cell>
          <cell r="B1795" t="str">
            <v>APORTES ICBF</v>
          </cell>
          <cell r="C1795">
            <v>317247124</v>
          </cell>
          <cell r="E1795">
            <v>30641995</v>
          </cell>
          <cell r="G1795">
            <v>286605129</v>
          </cell>
        </row>
        <row r="1796">
          <cell r="A1796">
            <v>520578</v>
          </cell>
          <cell r="B1796" t="str">
            <v>APORTES SENA</v>
          </cell>
          <cell r="C1796">
            <v>211498125</v>
          </cell>
          <cell r="E1796">
            <v>20428000</v>
          </cell>
          <cell r="G1796">
            <v>191070125</v>
          </cell>
        </row>
        <row r="1797">
          <cell r="A1797">
            <v>520584</v>
          </cell>
          <cell r="B1797" t="str">
            <v>AUXILIOS ASUNTOS SINDICALES</v>
          </cell>
          <cell r="C1797">
            <v>143573456</v>
          </cell>
          <cell r="E1797">
            <v>3926067</v>
          </cell>
          <cell r="G1797">
            <v>139647389</v>
          </cell>
        </row>
        <row r="1798">
          <cell r="A1798">
            <v>520595</v>
          </cell>
          <cell r="B1798" t="str">
            <v xml:space="preserve">OTROS AUX PNAL </v>
          </cell>
          <cell r="C1798">
            <v>631730351</v>
          </cell>
          <cell r="E1798">
            <v>177458633</v>
          </cell>
          <cell r="G1798">
            <v>454271718</v>
          </cell>
        </row>
        <row r="1799">
          <cell r="C1799">
            <v>25086281038</v>
          </cell>
          <cell r="E1799">
            <v>5945155074</v>
          </cell>
          <cell r="G1799">
            <v>19141125964</v>
          </cell>
        </row>
      </sheetData>
      <sheetData sheetId="2">
        <row r="89">
          <cell r="A89">
            <v>73050600209401</v>
          </cell>
          <cell r="B89" t="str">
            <v>SUELDOS BGDE</v>
          </cell>
          <cell r="C89">
            <v>1998665364</v>
          </cell>
          <cell r="E89">
            <v>725482263</v>
          </cell>
          <cell r="G89">
            <v>1273183101</v>
          </cell>
        </row>
        <row r="90">
          <cell r="A90">
            <v>73050605209401</v>
          </cell>
          <cell r="B90" t="str">
            <v>SALARIO INTEGRAL BGDE</v>
          </cell>
          <cell r="C90">
            <v>1353505393</v>
          </cell>
          <cell r="E90">
            <v>119009845</v>
          </cell>
          <cell r="G90">
            <v>1234495548</v>
          </cell>
        </row>
        <row r="91">
          <cell r="A91">
            <v>73050688209402</v>
          </cell>
          <cell r="B91" t="str">
            <v>PRIMA VACACIONES CONVENC.BGDE</v>
          </cell>
          <cell r="C91">
            <v>172899042</v>
          </cell>
          <cell r="E91">
            <v>114822819</v>
          </cell>
          <cell r="G91">
            <v>58076223</v>
          </cell>
        </row>
        <row r="92">
          <cell r="A92">
            <v>73050689209402</v>
          </cell>
          <cell r="B92" t="str">
            <v>PRIMA ANTIGUEDAD CONVENC.BGDE</v>
          </cell>
          <cell r="C92">
            <v>147416330</v>
          </cell>
          <cell r="E92">
            <v>97864951</v>
          </cell>
          <cell r="G92">
            <v>49551379</v>
          </cell>
        </row>
        <row r="93">
          <cell r="A93">
            <v>73050690209402</v>
          </cell>
          <cell r="B93" t="str">
            <v>PRIMA EXTRA-NAVIDAD CONVENC BGDE</v>
          </cell>
          <cell r="C93">
            <v>115292205</v>
          </cell>
          <cell r="E93">
            <v>10283190</v>
          </cell>
          <cell r="G93">
            <v>105009015</v>
          </cell>
        </row>
        <row r="94">
          <cell r="A94">
            <v>73050691209402</v>
          </cell>
          <cell r="B94" t="str">
            <v>PRIMA VOLUNTARIA NO CONVENC. BGDE</v>
          </cell>
          <cell r="C94">
            <v>204255383</v>
          </cell>
          <cell r="E94">
            <v>65170501</v>
          </cell>
          <cell r="G94">
            <v>139084882</v>
          </cell>
        </row>
        <row r="95">
          <cell r="A95">
            <v>73050692209402</v>
          </cell>
          <cell r="B95" t="str">
            <v>PRIMA DE SERVICIOS BGDE</v>
          </cell>
          <cell r="C95">
            <v>190601065</v>
          </cell>
          <cell r="E95">
            <v>5128446</v>
          </cell>
          <cell r="G95">
            <v>185472619</v>
          </cell>
        </row>
        <row r="96">
          <cell r="A96">
            <v>73050693209402</v>
          </cell>
          <cell r="B96" t="str">
            <v>BONIFICACION OCASIONAL BGDE</v>
          </cell>
          <cell r="C96">
            <v>410943199</v>
          </cell>
          <cell r="E96">
            <v>176717593</v>
          </cell>
          <cell r="G96">
            <v>234225606</v>
          </cell>
        </row>
        <row r="97">
          <cell r="A97">
            <v>73050694209402</v>
          </cell>
          <cell r="B97" t="str">
            <v>BONIFICACION OCASIONAL RETIRO BGDE</v>
          </cell>
          <cell r="C97">
            <v>216171651</v>
          </cell>
          <cell r="E97">
            <v>216171651</v>
          </cell>
        </row>
        <row r="98">
          <cell r="A98">
            <v>73050695209402</v>
          </cell>
          <cell r="B98" t="str">
            <v>AUXILIOS VARIOS AL PERSONAL BGDE</v>
          </cell>
          <cell r="C98">
            <v>10747227</v>
          </cell>
          <cell r="G98">
            <v>10747227</v>
          </cell>
        </row>
        <row r="99">
          <cell r="A99">
            <v>73050696209402</v>
          </cell>
          <cell r="B99" t="str">
            <v>AUXILIO TRANSPORTE CONVENC. BGDE</v>
          </cell>
          <cell r="C99">
            <v>13601252</v>
          </cell>
          <cell r="E99">
            <v>5303817</v>
          </cell>
          <cell r="G99">
            <v>8297435</v>
          </cell>
        </row>
        <row r="100">
          <cell r="A100">
            <v>73050697209402</v>
          </cell>
          <cell r="B100" t="str">
            <v>PERMISOS REMUNERADOS BGDE</v>
          </cell>
          <cell r="C100">
            <v>31508379</v>
          </cell>
          <cell r="E100">
            <v>18347720</v>
          </cell>
          <cell r="G100">
            <v>13160659</v>
          </cell>
        </row>
        <row r="101">
          <cell r="A101">
            <v>73051500209401</v>
          </cell>
          <cell r="B101" t="str">
            <v>HORAS EXTRAS S/SUELDOS BGDE</v>
          </cell>
          <cell r="C101">
            <v>68330557</v>
          </cell>
          <cell r="E101">
            <v>32202776</v>
          </cell>
          <cell r="G101">
            <v>36127781</v>
          </cell>
        </row>
        <row r="102">
          <cell r="A102">
            <v>73052400209402</v>
          </cell>
          <cell r="B102" t="str">
            <v>INCAPACIDAD POR ENFERMEDAD BGDE</v>
          </cell>
          <cell r="C102">
            <v>45035825</v>
          </cell>
          <cell r="E102">
            <v>38357365</v>
          </cell>
          <cell r="G102">
            <v>6678460</v>
          </cell>
        </row>
        <row r="103">
          <cell r="A103">
            <v>73053000209402</v>
          </cell>
          <cell r="B103" t="str">
            <v>CESANTIAS CAUSADAS EMP BGDE</v>
          </cell>
          <cell r="C103">
            <v>392197650</v>
          </cell>
          <cell r="E103">
            <v>160926434</v>
          </cell>
          <cell r="G103">
            <v>231271216</v>
          </cell>
        </row>
        <row r="104">
          <cell r="A104">
            <v>73053005209402</v>
          </cell>
          <cell r="B104" t="str">
            <v>CESANTIAS CAUSADAS EMP BGDE LEY 50</v>
          </cell>
          <cell r="C104">
            <v>106323502</v>
          </cell>
          <cell r="E104">
            <v>1778500</v>
          </cell>
          <cell r="G104">
            <v>104545002</v>
          </cell>
        </row>
        <row r="105">
          <cell r="A105">
            <v>73053300209402</v>
          </cell>
          <cell r="B105" t="str">
            <v>INTERESES CAUSADOS S/CESANTIAS EMP</v>
          </cell>
          <cell r="C105">
            <v>40817068</v>
          </cell>
          <cell r="E105">
            <v>8262880</v>
          </cell>
          <cell r="G105">
            <v>32554188</v>
          </cell>
        </row>
        <row r="106">
          <cell r="A106">
            <v>73053925209402</v>
          </cell>
          <cell r="B106" t="str">
            <v>VACACIONES CAUSADAS EMP BGDE</v>
          </cell>
          <cell r="C106">
            <v>182811862</v>
          </cell>
          <cell r="E106">
            <v>7234809</v>
          </cell>
          <cell r="G106">
            <v>175577053</v>
          </cell>
        </row>
        <row r="107">
          <cell r="A107">
            <v>73055100209402</v>
          </cell>
          <cell r="B107" t="str">
            <v>DOTACION AL PERSONAL BGDE</v>
          </cell>
          <cell r="C107">
            <v>37358550</v>
          </cell>
          <cell r="E107">
            <v>17378478</v>
          </cell>
          <cell r="G107">
            <v>19980072</v>
          </cell>
        </row>
        <row r="108">
          <cell r="A108">
            <v>73055400209402</v>
          </cell>
          <cell r="B108" t="str">
            <v>SEGURO DE ASISTENCIA MEDICA BGDE</v>
          </cell>
          <cell r="C108">
            <v>305139971</v>
          </cell>
          <cell r="E108">
            <v>246074279</v>
          </cell>
          <cell r="G108">
            <v>59065692</v>
          </cell>
        </row>
        <row r="109">
          <cell r="A109">
            <v>73055800209402</v>
          </cell>
          <cell r="B109" t="str">
            <v>AMORTIZAC PENSIONES JUBILACION</v>
          </cell>
          <cell r="C109">
            <v>709986068</v>
          </cell>
          <cell r="E109">
            <v>64544188</v>
          </cell>
          <cell r="G109">
            <v>645441880</v>
          </cell>
        </row>
        <row r="110">
          <cell r="A110">
            <v>73055900209402</v>
          </cell>
          <cell r="B110" t="str">
            <v>PAGOS DIRECTOS A JUBILADOS BGDE</v>
          </cell>
          <cell r="C110">
            <v>1125687670</v>
          </cell>
          <cell r="E110">
            <v>3580863</v>
          </cell>
          <cell r="G110">
            <v>1122106807</v>
          </cell>
        </row>
        <row r="111">
          <cell r="A111">
            <v>73056305209402</v>
          </cell>
          <cell r="B111" t="str">
            <v>AUXILIO ESTUDIO TRABAJADORES BGDE</v>
          </cell>
          <cell r="C111">
            <v>91728822</v>
          </cell>
          <cell r="E111">
            <v>69909924</v>
          </cell>
          <cell r="G111">
            <v>21818898</v>
          </cell>
        </row>
        <row r="112">
          <cell r="A112">
            <v>73056310209402</v>
          </cell>
          <cell r="B112" t="str">
            <v>GASTOS ESCUELA PREKINDER Y KINDER B</v>
          </cell>
          <cell r="C112">
            <v>21319325</v>
          </cell>
          <cell r="E112">
            <v>17600300</v>
          </cell>
          <cell r="G112">
            <v>3719025</v>
          </cell>
        </row>
        <row r="113">
          <cell r="A113">
            <v>73056316209402</v>
          </cell>
          <cell r="B113" t="str">
            <v>AUXILIO ESTUDIO/TPTE HIJOS TRABAJAD</v>
          </cell>
          <cell r="C113">
            <v>511831962</v>
          </cell>
          <cell r="E113">
            <v>345396671</v>
          </cell>
          <cell r="G113">
            <v>166435291</v>
          </cell>
        </row>
        <row r="114">
          <cell r="A114">
            <v>73056325209402</v>
          </cell>
          <cell r="B114" t="str">
            <v>SEMIN CURSOS CAPAC BGDE</v>
          </cell>
          <cell r="C114">
            <v>578958316</v>
          </cell>
          <cell r="E114">
            <v>453983765</v>
          </cell>
          <cell r="G114">
            <v>124974551</v>
          </cell>
        </row>
        <row r="115">
          <cell r="A115">
            <v>73056330209402</v>
          </cell>
          <cell r="B115" t="str">
            <v>GASTOS FORMACION EN EL EXTERIOR  BG</v>
          </cell>
          <cell r="C115">
            <v>138345275</v>
          </cell>
          <cell r="E115">
            <v>89065300</v>
          </cell>
          <cell r="G115">
            <v>49279975</v>
          </cell>
        </row>
        <row r="116">
          <cell r="A116">
            <v>73056605209402</v>
          </cell>
          <cell r="B116" t="str">
            <v>GASTOS ACTIVIDADES DEPORTIVAS EMPRE</v>
          </cell>
          <cell r="C116">
            <v>16435677</v>
          </cell>
          <cell r="E116">
            <v>12316667</v>
          </cell>
          <cell r="G116">
            <v>4119010</v>
          </cell>
        </row>
        <row r="117">
          <cell r="A117">
            <v>73056610209402</v>
          </cell>
          <cell r="B117" t="str">
            <v>AUXILIO DEPORTES PERSONAL CONVENC.</v>
          </cell>
          <cell r="C117">
            <v>17216667</v>
          </cell>
          <cell r="E117">
            <v>13516667</v>
          </cell>
          <cell r="G117">
            <v>3700000</v>
          </cell>
        </row>
        <row r="118">
          <cell r="A118">
            <v>73056800209402</v>
          </cell>
          <cell r="B118" t="str">
            <v>APORTE ADMINISTRADORAS RIESGOS PROF</v>
          </cell>
          <cell r="C118">
            <v>57764851</v>
          </cell>
          <cell r="E118">
            <v>16497110</v>
          </cell>
          <cell r="G118">
            <v>41267741</v>
          </cell>
        </row>
        <row r="119">
          <cell r="A119">
            <v>73056900209402</v>
          </cell>
          <cell r="B119" t="str">
            <v>APORTES ENTIDADES PROMOTORAS SALUD</v>
          </cell>
          <cell r="C119">
            <v>272555661</v>
          </cell>
          <cell r="E119">
            <v>41098040</v>
          </cell>
          <cell r="G119">
            <v>231457621</v>
          </cell>
        </row>
        <row r="120">
          <cell r="A120">
            <v>73057000209402</v>
          </cell>
          <cell r="B120" t="str">
            <v>APORTES FONDO PENSIONES Y CESANTIAS</v>
          </cell>
          <cell r="C120">
            <v>406683006</v>
          </cell>
          <cell r="E120">
            <v>110294507</v>
          </cell>
          <cell r="G120">
            <v>296388499</v>
          </cell>
        </row>
        <row r="121">
          <cell r="A121">
            <v>73057200209402</v>
          </cell>
          <cell r="B121" t="str">
            <v>APORTE PATRONAL CAJA COMPENS.FLIAR</v>
          </cell>
          <cell r="C121">
            <v>228550214</v>
          </cell>
          <cell r="E121">
            <v>117474857</v>
          </cell>
          <cell r="G121">
            <v>111075357</v>
          </cell>
        </row>
        <row r="122">
          <cell r="A122">
            <v>73057500209402</v>
          </cell>
          <cell r="B122" t="str">
            <v>APORTE PATRONAL I.C.B.F. BGDE</v>
          </cell>
          <cell r="C122">
            <v>171489750</v>
          </cell>
          <cell r="E122">
            <v>87185864</v>
          </cell>
          <cell r="G122">
            <v>84303886</v>
          </cell>
        </row>
        <row r="123">
          <cell r="A123">
            <v>73057800209402</v>
          </cell>
          <cell r="B123" t="str">
            <v>APORTE PATRONAL SENA BGDE</v>
          </cell>
          <cell r="C123">
            <v>115213788</v>
          </cell>
          <cell r="E123">
            <v>68089330</v>
          </cell>
          <cell r="G123">
            <v>47124458</v>
          </cell>
        </row>
        <row r="124">
          <cell r="A124">
            <v>73058105209402</v>
          </cell>
          <cell r="B124" t="str">
            <v>AUXILIO SINDICATO Y COOPERATIVA BGD</v>
          </cell>
          <cell r="C124">
            <v>17493027</v>
          </cell>
          <cell r="E124">
            <v>12503069</v>
          </cell>
          <cell r="G124">
            <v>4989958</v>
          </cell>
        </row>
        <row r="125">
          <cell r="A125">
            <v>73058106209402</v>
          </cell>
          <cell r="B125" t="str">
            <v>AUXILIO ASUNTOS SINDICALES BGDE</v>
          </cell>
          <cell r="C125">
            <v>220297870</v>
          </cell>
          <cell r="E125">
            <v>167421568</v>
          </cell>
          <cell r="G125">
            <v>52876302</v>
          </cell>
        </row>
        <row r="126">
          <cell r="A126">
            <v>73058405209402</v>
          </cell>
          <cell r="B126" t="str">
            <v>GTOS PLAN SALUD PERS.F.CONVENCION.B</v>
          </cell>
          <cell r="C126">
            <v>1952379</v>
          </cell>
          <cell r="E126">
            <v>1158096</v>
          </cell>
          <cell r="G126">
            <v>794283</v>
          </cell>
        </row>
        <row r="127">
          <cell r="A127">
            <v>73058410209402</v>
          </cell>
          <cell r="B127" t="str">
            <v>AUXILIO LENTES,MONTURAS,ANTEOJOS BG</v>
          </cell>
          <cell r="C127">
            <v>9604744</v>
          </cell>
          <cell r="E127">
            <v>4350805</v>
          </cell>
          <cell r="G127">
            <v>5253939</v>
          </cell>
        </row>
        <row r="128">
          <cell r="A128">
            <v>73058415209402</v>
          </cell>
          <cell r="B128" t="str">
            <v>GASTOS POR SERVICIO MEDICO BGDE</v>
          </cell>
          <cell r="C128">
            <v>8326626</v>
          </cell>
          <cell r="E128">
            <v>4655374</v>
          </cell>
          <cell r="G128">
            <v>3671252</v>
          </cell>
        </row>
        <row r="129">
          <cell r="A129">
            <v>73058420209402</v>
          </cell>
          <cell r="B129" t="str">
            <v>AUXILIO PLAN SERVICIO MEDICO CONVEN</v>
          </cell>
          <cell r="C129">
            <v>45128992</v>
          </cell>
          <cell r="E129">
            <v>15301864</v>
          </cell>
          <cell r="G129">
            <v>29827128</v>
          </cell>
        </row>
        <row r="130">
          <cell r="A130">
            <v>73058425209402</v>
          </cell>
          <cell r="B130" t="str">
            <v>AUXILIO DROGAS CONVENCION BGDE</v>
          </cell>
          <cell r="C130">
            <v>432012120</v>
          </cell>
          <cell r="E130">
            <v>154385305</v>
          </cell>
          <cell r="G130">
            <v>277626815</v>
          </cell>
        </row>
        <row r="131">
          <cell r="A131">
            <v>73058430209402</v>
          </cell>
          <cell r="B131" t="str">
            <v>AUX.HOSP.CIRUG.RX.LABORAT.FLIA.TRAB</v>
          </cell>
          <cell r="C131">
            <v>743304077</v>
          </cell>
          <cell r="E131">
            <v>494076583</v>
          </cell>
          <cell r="G131">
            <v>249227494</v>
          </cell>
        </row>
        <row r="132">
          <cell r="A132">
            <v>73058435209402</v>
          </cell>
          <cell r="B132" t="str">
            <v>AUXILIO ODONTOLOGIA ORTOPEDIA  BGDE</v>
          </cell>
          <cell r="C132">
            <v>32338460</v>
          </cell>
          <cell r="E132">
            <v>19838460</v>
          </cell>
          <cell r="G132">
            <v>12500000</v>
          </cell>
        </row>
        <row r="133">
          <cell r="A133">
            <v>73058440209402</v>
          </cell>
          <cell r="B133" t="str">
            <v>AUXILIO VIAJES CONSULTAS I.S.S BGDE</v>
          </cell>
          <cell r="C133">
            <v>21432910</v>
          </cell>
          <cell r="E133">
            <v>9518450</v>
          </cell>
          <cell r="G133">
            <v>11914460</v>
          </cell>
        </row>
        <row r="134">
          <cell r="A134">
            <v>73058445209402</v>
          </cell>
          <cell r="B134" t="str">
            <v>AUXILIO TRANSPORTE MEDICO/HOSPIT BG</v>
          </cell>
          <cell r="C134">
            <v>8435410</v>
          </cell>
          <cell r="E134">
            <v>6170792</v>
          </cell>
          <cell r="G134">
            <v>2264618</v>
          </cell>
        </row>
        <row r="135">
          <cell r="A135">
            <v>73059505209402</v>
          </cell>
          <cell r="B135" t="str">
            <v>APORTE PATRONAL FONDO MUTUO INVERSI</v>
          </cell>
          <cell r="C135">
            <v>20087327</v>
          </cell>
          <cell r="E135">
            <v>1800000</v>
          </cell>
          <cell r="G135">
            <v>18287327</v>
          </cell>
        </row>
        <row r="136">
          <cell r="A136">
            <v>73059510209402</v>
          </cell>
          <cell r="B136" t="str">
            <v>CAFETERIA Y ONCES AL PERSONAL BGDE</v>
          </cell>
          <cell r="C136">
            <v>118057215</v>
          </cell>
          <cell r="E136">
            <v>22875455</v>
          </cell>
          <cell r="G136">
            <v>95181760</v>
          </cell>
        </row>
        <row r="137">
          <cell r="A137">
            <v>73059515209402</v>
          </cell>
          <cell r="B137" t="str">
            <v>ATENCIONES Y FIESTAS AL PERSONAL BG</v>
          </cell>
          <cell r="C137">
            <v>238903082</v>
          </cell>
          <cell r="E137">
            <v>214206596</v>
          </cell>
          <cell r="G137">
            <v>24696486</v>
          </cell>
        </row>
        <row r="138">
          <cell r="A138">
            <v>73059520209402</v>
          </cell>
          <cell r="B138" t="str">
            <v>PERDIDA VENTA LECHE AL PERSONAL BGD</v>
          </cell>
          <cell r="C138">
            <v>42474078</v>
          </cell>
          <cell r="E138">
            <v>12705919</v>
          </cell>
          <cell r="G138">
            <v>29768159</v>
          </cell>
        </row>
        <row r="139">
          <cell r="A139">
            <v>73059530209402</v>
          </cell>
          <cell r="B139" t="str">
            <v>GASTOS CONTRATACION PERSONAL BGDE</v>
          </cell>
          <cell r="C139">
            <v>16765000</v>
          </cell>
          <cell r="E139">
            <v>12815000</v>
          </cell>
          <cell r="G139">
            <v>3950000</v>
          </cell>
        </row>
        <row r="140">
          <cell r="A140">
            <v>73059540209402</v>
          </cell>
          <cell r="B140" t="str">
            <v>GASTOS TRANSPORTE DE PERSONAL BGDE</v>
          </cell>
          <cell r="C140">
            <v>22497694</v>
          </cell>
          <cell r="E140">
            <v>14204254</v>
          </cell>
          <cell r="G140">
            <v>8293440</v>
          </cell>
        </row>
        <row r="141">
          <cell r="A141">
            <v>73059550209402</v>
          </cell>
          <cell r="B141" t="str">
            <v>OTROS GASTOS DEL PERSONAL BGDE</v>
          </cell>
          <cell r="C141">
            <v>151646107</v>
          </cell>
          <cell r="E141">
            <v>111466170</v>
          </cell>
          <cell r="G141">
            <v>40179937</v>
          </cell>
        </row>
        <row r="142">
          <cell r="A142">
            <v>73059560209401</v>
          </cell>
          <cell r="B142" t="str">
            <v>SUELDO FUERA DE COSTO BPT-CREDITO</v>
          </cell>
          <cell r="C142">
            <v>0</v>
          </cell>
          <cell r="E142">
            <v>445786000</v>
          </cell>
          <cell r="G142">
            <v>-445786000</v>
          </cell>
        </row>
        <row r="143">
          <cell r="C143">
            <v>12658145645</v>
          </cell>
          <cell r="E143">
            <v>5302312130</v>
          </cell>
          <cell r="G143">
            <v>7355833515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Contables"/>
    </sheetNames>
    <sheetDataSet>
      <sheetData sheetId="0">
        <row r="658">
          <cell r="A658">
            <v>73050300709401</v>
          </cell>
          <cell r="B658" t="str">
            <v>SALARIO INTEGRAL MOSQ</v>
          </cell>
          <cell r="C658">
            <v>301273338</v>
          </cell>
          <cell r="G658">
            <v>301273338</v>
          </cell>
        </row>
        <row r="659">
          <cell r="A659">
            <v>73050600709401</v>
          </cell>
          <cell r="B659" t="str">
            <v>SUELDOS</v>
          </cell>
          <cell r="C659">
            <v>568789036</v>
          </cell>
          <cell r="E659">
            <v>203778981</v>
          </cell>
          <cell r="G659">
            <v>365010055</v>
          </cell>
        </row>
        <row r="660">
          <cell r="A660">
            <v>73050688709402</v>
          </cell>
          <cell r="B660" t="str">
            <v>PRIMA DE VACACIONES PURINA</v>
          </cell>
          <cell r="C660">
            <v>1595811</v>
          </cell>
          <cell r="E660">
            <v>1595811</v>
          </cell>
        </row>
        <row r="661">
          <cell r="A661">
            <v>73050691709402</v>
          </cell>
          <cell r="B661" t="str">
            <v>PRIMAS EXTRALEGALES PURINA</v>
          </cell>
          <cell r="C661">
            <v>63654185</v>
          </cell>
          <cell r="E661">
            <v>703389</v>
          </cell>
          <cell r="G661">
            <v>62950796</v>
          </cell>
        </row>
        <row r="662">
          <cell r="A662">
            <v>73050692709402</v>
          </cell>
          <cell r="B662" t="str">
            <v>PRIMA DE SERVICIOS MOSQ</v>
          </cell>
          <cell r="C662">
            <v>58937656</v>
          </cell>
          <cell r="E662">
            <v>16819731</v>
          </cell>
          <cell r="G662">
            <v>42117925</v>
          </cell>
        </row>
        <row r="663">
          <cell r="A663">
            <v>73050695709402</v>
          </cell>
          <cell r="B663" t="str">
            <v>OTROS AUXILIOS Y GASTOS AL PERSONAL</v>
          </cell>
          <cell r="C663">
            <v>1609488</v>
          </cell>
          <cell r="G663">
            <v>1609488</v>
          </cell>
        </row>
        <row r="664">
          <cell r="A664">
            <v>73050696709402</v>
          </cell>
          <cell r="B664" t="str">
            <v>AUXILIO DE TRANSPORTE</v>
          </cell>
          <cell r="C664">
            <v>11748001</v>
          </cell>
          <cell r="E664">
            <v>10724500</v>
          </cell>
          <cell r="G664">
            <v>1023501</v>
          </cell>
        </row>
        <row r="665">
          <cell r="A665">
            <v>73050697709402</v>
          </cell>
          <cell r="B665" t="str">
            <v>PERMISOS REMUNERADOS MOSQ</v>
          </cell>
          <cell r="C665">
            <v>2302403</v>
          </cell>
          <cell r="G665">
            <v>2302403</v>
          </cell>
        </row>
        <row r="666">
          <cell r="A666">
            <v>73051500709401</v>
          </cell>
          <cell r="B666" t="str">
            <v>HORAS EXTRAS Y RECARGOS</v>
          </cell>
          <cell r="C666">
            <v>46470232</v>
          </cell>
          <cell r="E666">
            <v>34418981</v>
          </cell>
          <cell r="G666">
            <v>12051251</v>
          </cell>
        </row>
        <row r="667">
          <cell r="A667">
            <v>73052400709402</v>
          </cell>
          <cell r="B667" t="str">
            <v>INCAPACIDAD POR ENFERMEDAD MOSQ</v>
          </cell>
          <cell r="C667">
            <v>3999405</v>
          </cell>
          <cell r="E667">
            <v>216400</v>
          </cell>
          <cell r="G667">
            <v>3783005</v>
          </cell>
        </row>
        <row r="668">
          <cell r="A668">
            <v>73053000709402</v>
          </cell>
          <cell r="B668" t="str">
            <v>CESANTIAS CAUSADAS MOSQ</v>
          </cell>
          <cell r="C668">
            <v>57699827</v>
          </cell>
          <cell r="E668">
            <v>17505084</v>
          </cell>
          <cell r="G668">
            <v>40194743</v>
          </cell>
        </row>
        <row r="669">
          <cell r="A669">
            <v>73053300709402</v>
          </cell>
          <cell r="B669" t="str">
            <v>INTERESES SOBRE CESANTIAS MOSQ</v>
          </cell>
          <cell r="C669">
            <v>5253930</v>
          </cell>
          <cell r="E669">
            <v>1333824</v>
          </cell>
          <cell r="G669">
            <v>3920106</v>
          </cell>
        </row>
        <row r="670">
          <cell r="A670">
            <v>73053925709402</v>
          </cell>
          <cell r="B670" t="str">
            <v>VACACIONES CAUSADAS MOSQ</v>
          </cell>
          <cell r="C670">
            <v>51545898</v>
          </cell>
          <cell r="E670">
            <v>27786715</v>
          </cell>
          <cell r="G670">
            <v>23759183</v>
          </cell>
        </row>
        <row r="671">
          <cell r="A671">
            <v>73054801709402</v>
          </cell>
          <cell r="B671" t="str">
            <v>BONIFICACIONES OCASIONALES PERSONAL</v>
          </cell>
          <cell r="C671">
            <v>21275904</v>
          </cell>
          <cell r="G671">
            <v>21275904</v>
          </cell>
        </row>
        <row r="672">
          <cell r="A672">
            <v>73055100709402</v>
          </cell>
          <cell r="B672" t="str">
            <v>ROPA DE TRABAJO UNIFORMES CALZADO M</v>
          </cell>
          <cell r="C672">
            <v>213060</v>
          </cell>
          <cell r="G672">
            <v>213060</v>
          </cell>
        </row>
        <row r="673">
          <cell r="A673">
            <v>73055400709402</v>
          </cell>
          <cell r="B673" t="str">
            <v>CAFESALUD ASISTENCIA MEDICA MOSQ</v>
          </cell>
          <cell r="C673">
            <v>26779285</v>
          </cell>
          <cell r="E673">
            <v>7176997</v>
          </cell>
          <cell r="G673">
            <v>19602288</v>
          </cell>
        </row>
        <row r="674">
          <cell r="A674">
            <v>73056005709402</v>
          </cell>
          <cell r="B674" t="str">
            <v>INDEMNIZACION POR DESPIDO</v>
          </cell>
          <cell r="C674">
            <v>1422167</v>
          </cell>
          <cell r="G674">
            <v>1422167</v>
          </cell>
        </row>
        <row r="675">
          <cell r="A675">
            <v>73056316709402</v>
          </cell>
          <cell r="B675" t="str">
            <v>AUXILIO ESTUDIO/TPTE HIJOS EMP MOSQ</v>
          </cell>
          <cell r="C675">
            <v>19927000</v>
          </cell>
          <cell r="E675">
            <v>15768000</v>
          </cell>
          <cell r="G675">
            <v>4159000</v>
          </cell>
        </row>
        <row r="676">
          <cell r="A676">
            <v>73056325709402</v>
          </cell>
          <cell r="B676" t="str">
            <v>SEMINARIOS CURSOS CAPACIT INTERNA M</v>
          </cell>
          <cell r="C676">
            <v>22899373</v>
          </cell>
          <cell r="G676">
            <v>22899373</v>
          </cell>
        </row>
        <row r="677">
          <cell r="A677">
            <v>73056605709402</v>
          </cell>
          <cell r="B677" t="str">
            <v>GTOS ACTIV DEPORTIVAS EMPRESA MOSQ</v>
          </cell>
          <cell r="C677">
            <v>2525344</v>
          </cell>
          <cell r="G677">
            <v>2525344</v>
          </cell>
        </row>
        <row r="678">
          <cell r="A678">
            <v>73056800709402</v>
          </cell>
          <cell r="B678" t="str">
            <v>APORTES ARP MOSQ</v>
          </cell>
          <cell r="C678">
            <v>11586700</v>
          </cell>
          <cell r="G678">
            <v>11586700</v>
          </cell>
        </row>
        <row r="679">
          <cell r="A679">
            <v>73056900709402</v>
          </cell>
          <cell r="B679" t="str">
            <v>APORTE PATRONAL I.S.S. MOSQ</v>
          </cell>
          <cell r="C679">
            <v>73110669</v>
          </cell>
          <cell r="E679">
            <v>8843000</v>
          </cell>
          <cell r="G679">
            <v>64267669</v>
          </cell>
        </row>
        <row r="680">
          <cell r="A680">
            <v>73057000709402</v>
          </cell>
          <cell r="B680" t="str">
            <v>APORTE FONDOS PENSION - CESANTIAS M</v>
          </cell>
          <cell r="C680">
            <v>102468436</v>
          </cell>
          <cell r="E680">
            <v>22715727</v>
          </cell>
          <cell r="G680">
            <v>79752709</v>
          </cell>
        </row>
        <row r="681">
          <cell r="A681">
            <v>73057200709402</v>
          </cell>
          <cell r="B681" t="str">
            <v>APORTE PATRONAL CAJA COMPENSACION M</v>
          </cell>
          <cell r="C681">
            <v>36613437</v>
          </cell>
          <cell r="E681">
            <v>8076704</v>
          </cell>
          <cell r="G681">
            <v>28536733</v>
          </cell>
        </row>
        <row r="682">
          <cell r="A682">
            <v>73057500709402</v>
          </cell>
          <cell r="B682" t="str">
            <v>APORTE PATRONAL I.C.B.F. MOSQ</v>
          </cell>
          <cell r="C682">
            <v>27460063</v>
          </cell>
          <cell r="E682">
            <v>6057528</v>
          </cell>
          <cell r="G682">
            <v>21402535</v>
          </cell>
        </row>
        <row r="683">
          <cell r="A683">
            <v>73057800709402</v>
          </cell>
          <cell r="B683" t="str">
            <v>APORTE PATRONAL SENA MOSQ</v>
          </cell>
          <cell r="C683">
            <v>18306700</v>
          </cell>
          <cell r="E683">
            <v>4038348</v>
          </cell>
          <cell r="G683">
            <v>14268352</v>
          </cell>
        </row>
        <row r="684">
          <cell r="A684">
            <v>73058410709402</v>
          </cell>
          <cell r="B684" t="str">
            <v>AUXILIO LENTES,MONTURAS,ANTEOJOS MO</v>
          </cell>
          <cell r="C684">
            <v>3492500</v>
          </cell>
          <cell r="G684">
            <v>3492500</v>
          </cell>
        </row>
        <row r="685">
          <cell r="A685">
            <v>73059502709299</v>
          </cell>
          <cell r="B685" t="str">
            <v>GASTOS SALUD OCUPACIONAL MOSQ</v>
          </cell>
          <cell r="C685">
            <v>7022109</v>
          </cell>
          <cell r="G685">
            <v>7022109</v>
          </cell>
        </row>
        <row r="686">
          <cell r="A686">
            <v>73059505709402</v>
          </cell>
          <cell r="B686" t="str">
            <v>APORTE PATRONAL FONDO MUTUO INVERSI</v>
          </cell>
          <cell r="C686">
            <v>14789807</v>
          </cell>
          <cell r="G686">
            <v>14789807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8"/>
  <sheetViews>
    <sheetView tabSelected="1" workbookViewId="0">
      <selection activeCell="C6" sqref="C6"/>
    </sheetView>
  </sheetViews>
  <sheetFormatPr baseColWidth="10" defaultRowHeight="12.75" x14ac:dyDescent="0.2"/>
  <cols>
    <col min="1" max="1" width="1.7109375" style="31" customWidth="1"/>
    <col min="2" max="2" width="69.7109375" style="29" customWidth="1"/>
    <col min="3" max="3" width="10" style="27" bestFit="1" customWidth="1"/>
    <col min="4" max="5" width="9.7109375" style="29" customWidth="1"/>
    <col min="6" max="15" width="9.7109375" style="31" customWidth="1"/>
    <col min="16" max="16384" width="11.42578125" style="31"/>
  </cols>
  <sheetData>
    <row r="1" spans="1:16" x14ac:dyDescent="0.2">
      <c r="A1"/>
      <c r="B1" s="36" t="s">
        <v>600</v>
      </c>
      <c r="C1" s="37"/>
    </row>
    <row r="2" spans="1:16" x14ac:dyDescent="0.2">
      <c r="A2"/>
      <c r="B2" s="36" t="s">
        <v>601</v>
      </c>
      <c r="C2" s="37"/>
    </row>
    <row r="3" spans="1:16" x14ac:dyDescent="0.2">
      <c r="A3"/>
      <c r="B3" s="36" t="s">
        <v>602</v>
      </c>
      <c r="C3" s="37"/>
    </row>
    <row r="4" spans="1:16" x14ac:dyDescent="0.2">
      <c r="A4"/>
      <c r="B4" s="36" t="s">
        <v>117</v>
      </c>
      <c r="C4" s="37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3.5" thickBot="1" x14ac:dyDescent="0.25">
      <c r="A5"/>
      <c r="B5" s="38"/>
      <c r="C5" s="37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/>
      <c r="B6" s="39"/>
      <c r="C6" s="39" t="s">
        <v>118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6" ht="13.5" thickBot="1" x14ac:dyDescent="0.25">
      <c r="A7"/>
      <c r="B7" s="40" t="s">
        <v>119</v>
      </c>
      <c r="C7" s="40" t="s">
        <v>511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6" x14ac:dyDescent="0.2">
      <c r="A8"/>
      <c r="B8" s="41"/>
      <c r="C8" s="4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6" x14ac:dyDescent="0.2">
      <c r="A9"/>
      <c r="B9" s="43" t="s">
        <v>293</v>
      </c>
      <c r="C9" s="42">
        <v>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6" x14ac:dyDescent="0.2">
      <c r="A10"/>
      <c r="B10" s="43" t="s">
        <v>111</v>
      </c>
      <c r="C10" s="42" t="s">
        <v>121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6" x14ac:dyDescent="0.2">
      <c r="A11"/>
      <c r="B11" s="43" t="s">
        <v>380</v>
      </c>
      <c r="C11" s="42">
        <f>+C9+1</f>
        <v>2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6" x14ac:dyDescent="0.2">
      <c r="A12"/>
      <c r="B12" s="43" t="s">
        <v>102</v>
      </c>
      <c r="C12" s="42" t="s">
        <v>122</v>
      </c>
      <c r="E12" s="31"/>
    </row>
    <row r="13" spans="1:16" x14ac:dyDescent="0.2">
      <c r="A13"/>
      <c r="B13" s="43" t="s">
        <v>349</v>
      </c>
      <c r="C13" s="42">
        <f>+C11+1</f>
        <v>3</v>
      </c>
      <c r="E13" s="31"/>
    </row>
    <row r="14" spans="1:16" x14ac:dyDescent="0.2">
      <c r="A14"/>
      <c r="B14" s="43" t="s">
        <v>635</v>
      </c>
      <c r="C14" s="42">
        <f>+C13+1</f>
        <v>4</v>
      </c>
      <c r="E14" s="31"/>
    </row>
    <row r="15" spans="1:16" x14ac:dyDescent="0.2">
      <c r="A15"/>
      <c r="B15" s="43" t="s">
        <v>304</v>
      </c>
      <c r="C15" s="42">
        <f>+C14+1</f>
        <v>5</v>
      </c>
      <c r="E15" s="31"/>
    </row>
    <row r="16" spans="1:16" x14ac:dyDescent="0.2">
      <c r="A16"/>
      <c r="B16" s="43" t="s">
        <v>354</v>
      </c>
      <c r="C16" s="42">
        <f>+C15+1</f>
        <v>6</v>
      </c>
      <c r="E16" s="31"/>
    </row>
    <row r="17" spans="1:5" x14ac:dyDescent="0.2">
      <c r="A17"/>
      <c r="B17" s="43" t="s">
        <v>556</v>
      </c>
      <c r="C17" s="42">
        <f>+C16+1</f>
        <v>7</v>
      </c>
      <c r="E17" s="31"/>
    </row>
    <row r="18" spans="1:5" x14ac:dyDescent="0.2">
      <c r="A18"/>
      <c r="B18" s="43" t="s">
        <v>408</v>
      </c>
      <c r="C18" s="42">
        <f t="shared" ref="C18:C28" si="0">+C17+1</f>
        <v>8</v>
      </c>
      <c r="E18" s="31"/>
    </row>
    <row r="19" spans="1:5" x14ac:dyDescent="0.2">
      <c r="A19"/>
      <c r="B19" s="43" t="s">
        <v>382</v>
      </c>
      <c r="C19" s="42">
        <f>+C18+1</f>
        <v>9</v>
      </c>
      <c r="E19" s="31"/>
    </row>
    <row r="20" spans="1:5" x14ac:dyDescent="0.2">
      <c r="A20"/>
      <c r="B20" s="41" t="s">
        <v>151</v>
      </c>
      <c r="C20" s="42">
        <f>+C19+1</f>
        <v>10</v>
      </c>
      <c r="E20" s="31"/>
    </row>
    <row r="21" spans="1:5" x14ac:dyDescent="0.2">
      <c r="A21"/>
      <c r="B21" s="43" t="s">
        <v>278</v>
      </c>
      <c r="C21" s="42">
        <f t="shared" si="0"/>
        <v>11</v>
      </c>
      <c r="E21" s="31"/>
    </row>
    <row r="22" spans="1:5" x14ac:dyDescent="0.2">
      <c r="A22"/>
      <c r="B22" s="43" t="s">
        <v>256</v>
      </c>
      <c r="C22" s="42">
        <f t="shared" si="0"/>
        <v>12</v>
      </c>
      <c r="E22" s="31"/>
    </row>
    <row r="23" spans="1:5" x14ac:dyDescent="0.2">
      <c r="A23"/>
      <c r="B23" s="43" t="s">
        <v>217</v>
      </c>
      <c r="C23" s="42">
        <f t="shared" si="0"/>
        <v>13</v>
      </c>
      <c r="E23" s="31"/>
    </row>
    <row r="24" spans="1:5" x14ac:dyDescent="0.2">
      <c r="A24"/>
      <c r="B24" s="43" t="s">
        <v>231</v>
      </c>
      <c r="C24" s="42">
        <f t="shared" si="0"/>
        <v>14</v>
      </c>
      <c r="E24" s="31"/>
    </row>
    <row r="25" spans="1:5" x14ac:dyDescent="0.2">
      <c r="A25"/>
      <c r="B25" s="43" t="s">
        <v>425</v>
      </c>
      <c r="C25" s="42">
        <f t="shared" si="0"/>
        <v>15</v>
      </c>
      <c r="E25" s="31"/>
    </row>
    <row r="26" spans="1:5" x14ac:dyDescent="0.2">
      <c r="A26"/>
      <c r="B26" s="43" t="s">
        <v>383</v>
      </c>
      <c r="C26" s="42">
        <f t="shared" si="0"/>
        <v>16</v>
      </c>
      <c r="E26" s="31"/>
    </row>
    <row r="27" spans="1:5" x14ac:dyDescent="0.2">
      <c r="A27"/>
      <c r="B27" s="43" t="s">
        <v>580</v>
      </c>
      <c r="C27" s="42">
        <f t="shared" si="0"/>
        <v>17</v>
      </c>
    </row>
    <row r="28" spans="1:5" x14ac:dyDescent="0.2">
      <c r="A28"/>
      <c r="B28" s="43" t="s">
        <v>384</v>
      </c>
      <c r="C28" s="42">
        <f t="shared" si="0"/>
        <v>18</v>
      </c>
      <c r="E28" s="31"/>
    </row>
    <row r="29" spans="1:5" ht="13.5" thickBot="1" x14ac:dyDescent="0.25">
      <c r="A29"/>
      <c r="B29" s="44"/>
      <c r="C29" s="45"/>
    </row>
    <row r="30" spans="1:5" x14ac:dyDescent="0.2">
      <c r="A30"/>
      <c r="B30" s="38"/>
      <c r="C30" s="37"/>
    </row>
    <row r="31" spans="1:5" ht="13.5" thickBot="1" x14ac:dyDescent="0.25">
      <c r="A31"/>
      <c r="B31" s="38"/>
      <c r="C31" s="37"/>
    </row>
    <row r="32" spans="1:5" x14ac:dyDescent="0.2">
      <c r="A32"/>
      <c r="B32" s="39"/>
      <c r="C32" s="39"/>
    </row>
    <row r="33" spans="1:5" ht="13.5" thickBot="1" x14ac:dyDescent="0.25">
      <c r="A33"/>
      <c r="B33" s="40" t="s">
        <v>632</v>
      </c>
      <c r="C33" s="40"/>
    </row>
    <row r="34" spans="1:5" x14ac:dyDescent="0.2">
      <c r="A34"/>
      <c r="B34" s="46"/>
      <c r="C34" s="47"/>
    </row>
    <row r="35" spans="1:5" x14ac:dyDescent="0.2">
      <c r="A35"/>
      <c r="B35" s="46" t="s">
        <v>481</v>
      </c>
      <c r="C35" s="47">
        <v>3.9E-2</v>
      </c>
      <c r="D35" s="31"/>
      <c r="E35" s="31"/>
    </row>
    <row r="36" spans="1:5" x14ac:dyDescent="0.2">
      <c r="A36"/>
      <c r="B36" s="46" t="s">
        <v>502</v>
      </c>
      <c r="C36" s="47">
        <v>1.9699999999999999E-2</v>
      </c>
      <c r="D36" s="31"/>
      <c r="E36" s="31"/>
    </row>
    <row r="37" spans="1:5" x14ac:dyDescent="0.2">
      <c r="A37"/>
      <c r="B37" s="46" t="s">
        <v>517</v>
      </c>
      <c r="C37" s="48">
        <v>4.6699999999999998E-2</v>
      </c>
      <c r="D37" s="31"/>
      <c r="E37" s="31"/>
    </row>
    <row r="38" spans="1:5" x14ac:dyDescent="0.2">
      <c r="A38"/>
      <c r="B38" s="46" t="s">
        <v>533</v>
      </c>
      <c r="C38" s="48">
        <v>0.124</v>
      </c>
      <c r="D38" s="31"/>
      <c r="E38" s="31"/>
    </row>
    <row r="39" spans="1:5" x14ac:dyDescent="0.2">
      <c r="A39"/>
      <c r="B39" s="46" t="s">
        <v>603</v>
      </c>
      <c r="C39" s="48">
        <v>0.10970000000000001</v>
      </c>
      <c r="D39" s="31"/>
      <c r="E39" s="31"/>
    </row>
    <row r="40" spans="1:5" ht="13.5" thickBot="1" x14ac:dyDescent="0.25">
      <c r="A40"/>
      <c r="B40" s="49"/>
      <c r="C40" s="45"/>
      <c r="D40" s="31"/>
      <c r="E40" s="31"/>
    </row>
    <row r="41" spans="1:5" x14ac:dyDescent="0.2">
      <c r="A41"/>
      <c r="B41" s="38"/>
      <c r="C41" s="37"/>
    </row>
    <row r="42" spans="1:5" ht="13.5" thickBot="1" x14ac:dyDescent="0.25">
      <c r="A42"/>
      <c r="B42" s="38"/>
      <c r="C42" s="37"/>
    </row>
    <row r="43" spans="1:5" ht="13.5" thickBot="1" x14ac:dyDescent="0.25">
      <c r="A43"/>
      <c r="B43" s="50" t="s">
        <v>616</v>
      </c>
      <c r="C43" s="50"/>
    </row>
    <row r="44" spans="1:5" x14ac:dyDescent="0.2">
      <c r="A44"/>
      <c r="B44" s="46"/>
      <c r="C44" s="51"/>
    </row>
    <row r="45" spans="1:5" x14ac:dyDescent="0.2">
      <c r="A45"/>
      <c r="B45" s="46" t="s">
        <v>617</v>
      </c>
      <c r="C45" s="52">
        <v>47065</v>
      </c>
    </row>
    <row r="46" spans="1:5" x14ac:dyDescent="0.2">
      <c r="A46"/>
      <c r="B46" s="46" t="s">
        <v>618</v>
      </c>
      <c r="C46" s="52">
        <v>49799</v>
      </c>
    </row>
    <row r="47" spans="1:5" ht="13.5" thickBot="1" x14ac:dyDescent="0.25">
      <c r="A47"/>
      <c r="B47" s="49"/>
      <c r="C47" s="53"/>
    </row>
    <row r="48" spans="1:5" x14ac:dyDescent="0.2">
      <c r="A48"/>
      <c r="B48" s="38"/>
      <c r="C48" s="37"/>
    </row>
  </sheetData>
  <sheetProtection algorithmName="SHA-512" hashValue="QBBDbumEV2Rgf24Yy6giNPQGNvtFylTzr/f4+MnDXGnGvJs4UuT0KCR72OfqnSFSqhbrnluYUGeW7YEdnD0/Xg==" saltValue="ixiU78bTyCwmAfb9VKcalg==" spinCount="100000" sheet="1" objects="1" scenarios="1"/>
  <phoneticPr fontId="7" type="noConversion"/>
  <printOptions horizontalCentered="1" verticalCentered="1"/>
  <pageMargins left="0.43307086614173229" right="0.51181102362204722" top="0.59055118110236227" bottom="0.59055118110236227" header="0.51181102362204722" footer="0.51181102362204722"/>
  <pageSetup orientation="portrait" r:id="rId1"/>
  <headerFooter alignWithMargins="0">
    <oddHeader xml:space="preserve">&amp;C </oddHeader>
    <oddFooter xml:space="preserve">&amp;C </oddFooter>
  </headerFooter>
  <ignoredErrors>
    <ignoredError sqref="C11:C26 C27:C2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1"/>
  <sheetViews>
    <sheetView topLeftCell="A6" zoomScaleNormal="100" workbookViewId="0">
      <pane xSplit="2" ySplit="3" topLeftCell="C17" activePane="bottomRight" state="frozen"/>
      <selection activeCell="A6" sqref="A6"/>
      <selection pane="topRight" activeCell="C6" sqref="C6"/>
      <selection pane="bottomLeft" activeCell="A9" sqref="A9"/>
      <selection pane="bottomRight" activeCell="I6" sqref="I6:M6"/>
    </sheetView>
  </sheetViews>
  <sheetFormatPr baseColWidth="10" defaultRowHeight="12.75" x14ac:dyDescent="0.2"/>
  <cols>
    <col min="1" max="1" width="11.42578125" style="31"/>
    <col min="2" max="2" width="14.28515625" style="31" customWidth="1"/>
    <col min="3" max="3" width="10.85546875" style="31" bestFit="1" customWidth="1"/>
    <col min="4" max="4" width="11.140625" style="31" bestFit="1" customWidth="1"/>
    <col min="5" max="5" width="10.85546875" style="31" customWidth="1"/>
    <col min="6" max="6" width="11.28515625" style="31" bestFit="1" customWidth="1"/>
    <col min="7" max="7" width="11.140625" style="31" bestFit="1" customWidth="1"/>
    <col min="8" max="8" width="1.7109375" style="31" customWidth="1"/>
    <col min="9" max="9" width="10.85546875" style="31" bestFit="1" customWidth="1"/>
    <col min="10" max="10" width="11.140625" style="31" bestFit="1" customWidth="1"/>
    <col min="11" max="11" width="10.85546875" style="31" customWidth="1"/>
    <col min="12" max="12" width="11.28515625" style="31" bestFit="1" customWidth="1"/>
    <col min="13" max="13" width="11.140625" style="31" bestFit="1" customWidth="1"/>
    <col min="14" max="14" width="11.42578125" style="32" customWidth="1"/>
    <col min="15" max="15" width="11.42578125" style="31" customWidth="1"/>
    <col min="16" max="16384" width="11.42578125" style="31"/>
  </cols>
  <sheetData>
    <row r="1" spans="1:14" s="5" customFormat="1" ht="12.75" customHeight="1" x14ac:dyDescent="0.2">
      <c r="A1" s="54" t="str">
        <f>+'7. PPyE'!A1</f>
        <v>EL EXPERTO S.A.S.</v>
      </c>
      <c r="B1" s="56"/>
      <c r="C1" s="56"/>
      <c r="D1" s="88"/>
      <c r="E1" s="88"/>
      <c r="F1" s="88"/>
      <c r="G1" s="88"/>
      <c r="H1" s="88"/>
      <c r="I1" s="88"/>
      <c r="J1" s="56"/>
      <c r="K1" s="56"/>
      <c r="L1" s="56"/>
      <c r="M1" s="56"/>
      <c r="N1" s="8"/>
    </row>
    <row r="2" spans="1:14" s="5" customFormat="1" ht="12.75" customHeight="1" x14ac:dyDescent="0.2">
      <c r="A2" s="54" t="str">
        <f>+'7. PPyE'!A2</f>
        <v>NIT 890.378.233 - 1</v>
      </c>
      <c r="B2" s="56"/>
      <c r="C2" s="56"/>
      <c r="D2" s="88"/>
      <c r="E2" s="88"/>
      <c r="F2" s="88"/>
      <c r="G2" s="88"/>
      <c r="H2" s="88"/>
      <c r="I2" s="88"/>
      <c r="J2" s="56"/>
      <c r="K2" s="56"/>
      <c r="L2" s="56"/>
      <c r="M2" s="56"/>
      <c r="N2" s="8"/>
    </row>
    <row r="3" spans="1:14" s="5" customFormat="1" ht="12.75" customHeight="1" x14ac:dyDescent="0.2">
      <c r="A3" s="54" t="str">
        <f>+'7. PPyE'!A3</f>
        <v>DECLARACION DE RENTA AÑO GRAVABLE 2024</v>
      </c>
      <c r="B3" s="56"/>
      <c r="C3" s="56"/>
      <c r="D3" s="88"/>
      <c r="E3" s="88"/>
      <c r="F3" s="88"/>
      <c r="G3" s="88"/>
      <c r="H3" s="88"/>
      <c r="I3" s="88"/>
      <c r="J3" s="56"/>
      <c r="K3" s="56"/>
      <c r="L3" s="59" t="s">
        <v>373</v>
      </c>
      <c r="M3" s="56"/>
      <c r="N3" s="8"/>
    </row>
    <row r="4" spans="1:14" s="5" customFormat="1" ht="12.75" customHeight="1" x14ac:dyDescent="0.2">
      <c r="A4" s="54" t="s">
        <v>381</v>
      </c>
      <c r="B4" s="56"/>
      <c r="C4" s="56"/>
      <c r="D4" s="88"/>
      <c r="E4" s="88"/>
      <c r="F4" s="88"/>
      <c r="G4" s="88"/>
      <c r="H4" s="88"/>
      <c r="I4" s="88"/>
      <c r="J4" s="56"/>
      <c r="K4" s="56"/>
      <c r="L4" s="56"/>
      <c r="M4" s="56"/>
      <c r="N4" s="8"/>
    </row>
    <row r="5" spans="1:14" s="29" customFormat="1" ht="12.7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27"/>
    </row>
    <row r="6" spans="1:14" s="29" customFormat="1" ht="12.75" customHeight="1" x14ac:dyDescent="0.2">
      <c r="A6" s="242"/>
      <c r="B6" s="243"/>
      <c r="C6" s="548" t="s">
        <v>366</v>
      </c>
      <c r="D6" s="549"/>
      <c r="E6" s="549"/>
      <c r="F6" s="549"/>
      <c r="G6" s="550"/>
      <c r="H6" s="223"/>
      <c r="I6" s="551" t="s">
        <v>367</v>
      </c>
      <c r="J6" s="552"/>
      <c r="K6" s="552"/>
      <c r="L6" s="552"/>
      <c r="M6" s="553"/>
      <c r="N6" s="27"/>
    </row>
    <row r="7" spans="1:14" s="29" customFormat="1" ht="12.75" customHeight="1" x14ac:dyDescent="0.2">
      <c r="A7" s="275" t="s">
        <v>46</v>
      </c>
      <c r="B7" s="276"/>
      <c r="C7" s="248" t="s">
        <v>361</v>
      </c>
      <c r="D7" s="222" t="s">
        <v>358</v>
      </c>
      <c r="E7" s="250" t="s">
        <v>49</v>
      </c>
      <c r="F7" s="249"/>
      <c r="G7" s="249" t="s">
        <v>358</v>
      </c>
      <c r="H7" s="277"/>
      <c r="I7" s="251" t="s">
        <v>361</v>
      </c>
      <c r="J7" s="251" t="s">
        <v>358</v>
      </c>
      <c r="K7" s="251" t="s">
        <v>176</v>
      </c>
      <c r="L7" s="278"/>
      <c r="M7" s="251" t="s">
        <v>358</v>
      </c>
      <c r="N7" s="27"/>
    </row>
    <row r="8" spans="1:14" s="29" customFormat="1" ht="12.75" customHeight="1" x14ac:dyDescent="0.2">
      <c r="A8" s="224"/>
      <c r="B8" s="225"/>
      <c r="C8" s="254" t="s">
        <v>362</v>
      </c>
      <c r="D8" s="226" t="str">
        <f>+'7. PPyE'!E8</f>
        <v xml:space="preserve"> 31-12-23</v>
      </c>
      <c r="E8" s="256" t="s">
        <v>50</v>
      </c>
      <c r="F8" s="255" t="s">
        <v>81</v>
      </c>
      <c r="G8" s="257" t="str">
        <f>+'7. PPyE'!G8</f>
        <v xml:space="preserve"> 31-12-24</v>
      </c>
      <c r="H8" s="277"/>
      <c r="I8" s="228" t="s">
        <v>362</v>
      </c>
      <c r="J8" s="228" t="str">
        <f>+'7. PPyE'!I8</f>
        <v xml:space="preserve"> 31-12-23</v>
      </c>
      <c r="K8" s="258" t="s">
        <v>50</v>
      </c>
      <c r="L8" s="279" t="s">
        <v>81</v>
      </c>
      <c r="M8" s="259" t="str">
        <f>+'7. PPyE'!L8</f>
        <v xml:space="preserve"> 31-12-24</v>
      </c>
      <c r="N8" s="27"/>
    </row>
    <row r="9" spans="1:14" s="29" customFormat="1" ht="12.75" customHeight="1" x14ac:dyDescent="0.2">
      <c r="A9" s="229"/>
      <c r="B9" s="56"/>
      <c r="C9" s="270"/>
      <c r="D9" s="230"/>
      <c r="E9" s="230"/>
      <c r="F9" s="231"/>
      <c r="G9" s="231"/>
      <c r="H9" s="88"/>
      <c r="I9" s="270"/>
      <c r="J9" s="230"/>
      <c r="K9" s="230"/>
      <c r="L9" s="231"/>
      <c r="M9" s="231"/>
      <c r="N9" s="27"/>
    </row>
    <row r="10" spans="1:14" s="29" customFormat="1" ht="12.75" hidden="1" customHeight="1" x14ac:dyDescent="0.2">
      <c r="A10" s="233" t="s">
        <v>51</v>
      </c>
      <c r="B10" s="56"/>
      <c r="C10" s="230"/>
      <c r="D10" s="230"/>
      <c r="E10" s="230"/>
      <c r="F10" s="231"/>
      <c r="G10" s="231"/>
      <c r="H10" s="88"/>
      <c r="I10" s="230"/>
      <c r="J10" s="230"/>
      <c r="K10" s="230"/>
      <c r="L10" s="230"/>
      <c r="M10" s="230"/>
      <c r="N10" s="27"/>
    </row>
    <row r="11" spans="1:14" s="29" customFormat="1" ht="12.75" hidden="1" customHeight="1" x14ac:dyDescent="0.2">
      <c r="A11" s="229" t="s">
        <v>125</v>
      </c>
      <c r="B11" s="56"/>
      <c r="C11" s="230"/>
      <c r="D11" s="230" t="s">
        <v>12</v>
      </c>
      <c r="E11" s="230" t="s">
        <v>12</v>
      </c>
      <c r="F11" s="231" t="s">
        <v>12</v>
      </c>
      <c r="G11" s="231" t="s">
        <v>12</v>
      </c>
      <c r="H11" s="88"/>
      <c r="I11" s="230"/>
      <c r="J11" s="230"/>
      <c r="K11" s="230"/>
      <c r="L11" s="230"/>
      <c r="M11" s="230"/>
      <c r="N11" s="27"/>
    </row>
    <row r="12" spans="1:14" s="29" customFormat="1" ht="12.75" hidden="1" customHeight="1" x14ac:dyDescent="0.2">
      <c r="A12" s="229" t="s">
        <v>52</v>
      </c>
      <c r="B12" s="56"/>
      <c r="C12" s="230"/>
      <c r="D12" s="230" t="s">
        <v>12</v>
      </c>
      <c r="E12" s="230" t="s">
        <v>12</v>
      </c>
      <c r="F12" s="230" t="s">
        <v>12</v>
      </c>
      <c r="G12" s="230" t="s">
        <v>12</v>
      </c>
      <c r="H12" s="88"/>
      <c r="I12" s="230"/>
      <c r="J12" s="230"/>
      <c r="K12" s="230"/>
      <c r="L12" s="230"/>
      <c r="M12" s="230"/>
      <c r="N12" s="27"/>
    </row>
    <row r="13" spans="1:14" s="29" customFormat="1" ht="12.75" hidden="1" customHeight="1" x14ac:dyDescent="0.2">
      <c r="A13" s="229" t="s">
        <v>53</v>
      </c>
      <c r="B13" s="56"/>
      <c r="C13" s="230"/>
      <c r="D13" s="230"/>
      <c r="E13" s="230"/>
      <c r="F13" s="230"/>
      <c r="G13" s="230"/>
      <c r="H13" s="88"/>
      <c r="I13" s="230"/>
      <c r="J13" s="230"/>
      <c r="K13" s="230"/>
      <c r="L13" s="230"/>
      <c r="M13" s="230"/>
      <c r="N13" s="27"/>
    </row>
    <row r="14" spans="1:14" s="29" customFormat="1" ht="12.75" hidden="1" customHeight="1" x14ac:dyDescent="0.2">
      <c r="A14" s="229"/>
      <c r="B14" s="56"/>
      <c r="C14" s="230"/>
      <c r="D14" s="230"/>
      <c r="E14" s="230"/>
      <c r="F14" s="231"/>
      <c r="G14" s="231"/>
      <c r="H14" s="88"/>
      <c r="I14" s="230"/>
      <c r="J14" s="230"/>
      <c r="K14" s="230" t="s">
        <v>12</v>
      </c>
      <c r="L14" s="231" t="s">
        <v>12</v>
      </c>
      <c r="M14" s="231" t="s">
        <v>12</v>
      </c>
      <c r="N14" s="27"/>
    </row>
    <row r="15" spans="1:14" s="29" customFormat="1" ht="12.75" customHeight="1" x14ac:dyDescent="0.2">
      <c r="A15" s="233" t="s">
        <v>370</v>
      </c>
      <c r="B15" s="56"/>
      <c r="C15" s="230"/>
      <c r="D15" s="230"/>
      <c r="E15" s="230"/>
      <c r="F15" s="231"/>
      <c r="G15" s="231"/>
      <c r="H15" s="88"/>
      <c r="I15" s="230"/>
      <c r="J15" s="230"/>
      <c r="K15" s="230"/>
      <c r="L15" s="231"/>
      <c r="M15" s="231"/>
      <c r="N15" s="27"/>
    </row>
    <row r="16" spans="1:14" s="29" customFormat="1" ht="12.75" customHeight="1" x14ac:dyDescent="0.2">
      <c r="A16" s="229" t="s">
        <v>506</v>
      </c>
      <c r="B16" s="56"/>
      <c r="C16" s="230">
        <f>+'7. PPyE'!C16*70%</f>
        <v>222600000</v>
      </c>
      <c r="D16" s="230">
        <f>+C16/70*11</f>
        <v>34980000</v>
      </c>
      <c r="E16" s="230">
        <f>+C16/70</f>
        <v>3180000</v>
      </c>
      <c r="F16" s="231"/>
      <c r="G16" s="231">
        <f>SUM(D16:F16)</f>
        <v>38160000</v>
      </c>
      <c r="H16" s="88"/>
      <c r="I16" s="230">
        <f>+'7. PPyE'!C16</f>
        <v>318000000</v>
      </c>
      <c r="J16" s="230">
        <f>+I16/20*11</f>
        <v>174900000</v>
      </c>
      <c r="K16" s="230">
        <f>+I16/20</f>
        <v>15900000</v>
      </c>
      <c r="L16" s="231"/>
      <c r="M16" s="231">
        <f>SUM(J16:L16)</f>
        <v>190800000</v>
      </c>
      <c r="N16" s="27"/>
    </row>
    <row r="17" spans="1:15" s="29" customFormat="1" ht="12.75" customHeight="1" x14ac:dyDescent="0.2">
      <c r="A17" s="229" t="s">
        <v>624</v>
      </c>
      <c r="B17" s="56"/>
      <c r="C17" s="230"/>
      <c r="D17" s="234"/>
      <c r="E17" s="234"/>
      <c r="F17" s="260"/>
      <c r="G17" s="260"/>
      <c r="H17" s="88"/>
      <c r="I17" s="230">
        <f>+'7. PPyE'!C17*70%</f>
        <v>258999999.99999997</v>
      </c>
      <c r="J17" s="234">
        <f>I17/70/12*4</f>
        <v>1233333.3333333333</v>
      </c>
      <c r="K17" s="234">
        <f>I17/70</f>
        <v>3699999.9999999995</v>
      </c>
      <c r="L17" s="234"/>
      <c r="M17" s="260">
        <f>SUM(J17:L17)</f>
        <v>4933333.333333333</v>
      </c>
      <c r="N17" s="27"/>
    </row>
    <row r="18" spans="1:15" s="29" customFormat="1" ht="12.75" customHeight="1" x14ac:dyDescent="0.2">
      <c r="A18" s="229" t="s">
        <v>369</v>
      </c>
      <c r="B18" s="56"/>
      <c r="C18" s="230"/>
      <c r="D18" s="236">
        <f>SUM(D16:D17)</f>
        <v>34980000</v>
      </c>
      <c r="E18" s="236">
        <f>SUM(E16:E17)</f>
        <v>3180000</v>
      </c>
      <c r="F18" s="236">
        <f>SUM(F16:F17)</f>
        <v>0</v>
      </c>
      <c r="G18" s="236">
        <f>SUM(G16:G17)</f>
        <v>38160000</v>
      </c>
      <c r="H18" s="88"/>
      <c r="I18" s="230"/>
      <c r="J18" s="236">
        <f>SUM(J16:J17)</f>
        <v>176133333.33333334</v>
      </c>
      <c r="K18" s="236">
        <f>SUM(K16:K17)</f>
        <v>19600000</v>
      </c>
      <c r="L18" s="236">
        <f>SUM(L16:L17)</f>
        <v>0</v>
      </c>
      <c r="M18" s="236">
        <f>SUM(M16:M17)</f>
        <v>195733333.33333334</v>
      </c>
      <c r="N18" s="27"/>
    </row>
    <row r="19" spans="1:15" s="29" customFormat="1" ht="12.75" customHeight="1" x14ac:dyDescent="0.2">
      <c r="A19" s="229"/>
      <c r="B19" s="56"/>
      <c r="C19" s="230"/>
      <c r="D19" s="230"/>
      <c r="E19" s="230"/>
      <c r="F19" s="231"/>
      <c r="G19" s="231"/>
      <c r="H19" s="88"/>
      <c r="I19" s="230"/>
      <c r="J19" s="230"/>
      <c r="K19" s="230" t="s">
        <v>12</v>
      </c>
      <c r="L19" s="231" t="s">
        <v>12</v>
      </c>
      <c r="M19" s="231" t="s">
        <v>12</v>
      </c>
      <c r="N19" s="27"/>
    </row>
    <row r="20" spans="1:15" s="29" customFormat="1" ht="12.75" customHeight="1" x14ac:dyDescent="0.2">
      <c r="A20" s="233" t="s">
        <v>371</v>
      </c>
      <c r="B20" s="56"/>
      <c r="C20" s="230">
        <f>+'7. PPyE'!C20</f>
        <v>71330120</v>
      </c>
      <c r="D20" s="235">
        <v>21758800</v>
      </c>
      <c r="E20" s="235">
        <f>+C20/10</f>
        <v>7133012</v>
      </c>
      <c r="F20" s="238"/>
      <c r="G20" s="238">
        <f>SUM(D20:F20)</f>
        <v>28891812</v>
      </c>
      <c r="H20" s="88"/>
      <c r="I20" s="230">
        <f>+'7. PPyE'!C20</f>
        <v>71330120</v>
      </c>
      <c r="J20" s="235">
        <f>+D20</f>
        <v>21758800</v>
      </c>
      <c r="K20" s="235">
        <f>+E20</f>
        <v>7133012</v>
      </c>
      <c r="L20" s="238"/>
      <c r="M20" s="238">
        <f>SUM(J20:L20)</f>
        <v>28891812</v>
      </c>
      <c r="N20" s="27"/>
    </row>
    <row r="21" spans="1:15" s="29" customFormat="1" ht="12.75" customHeight="1" x14ac:dyDescent="0.2">
      <c r="A21" s="229"/>
      <c r="B21" s="56"/>
      <c r="C21" s="230"/>
      <c r="D21" s="230"/>
      <c r="E21" s="230"/>
      <c r="F21" s="231"/>
      <c r="G21" s="231"/>
      <c r="H21" s="88"/>
      <c r="I21" s="230"/>
      <c r="J21" s="230"/>
      <c r="K21" s="230" t="s">
        <v>12</v>
      </c>
      <c r="L21" s="231" t="s">
        <v>12</v>
      </c>
      <c r="M21" s="231" t="s">
        <v>12</v>
      </c>
      <c r="N21" s="27"/>
    </row>
    <row r="22" spans="1:15" s="29" customFormat="1" ht="12.75" customHeight="1" x14ac:dyDescent="0.2">
      <c r="A22" s="233" t="s">
        <v>372</v>
      </c>
      <c r="B22" s="56"/>
      <c r="C22" s="230"/>
      <c r="D22" s="230"/>
      <c r="E22" s="230"/>
      <c r="F22" s="231"/>
      <c r="G22" s="231"/>
      <c r="H22" s="88"/>
      <c r="I22" s="230"/>
      <c r="J22" s="230"/>
      <c r="K22" s="230" t="s">
        <v>12</v>
      </c>
      <c r="L22" s="231" t="s">
        <v>12</v>
      </c>
      <c r="M22" s="231" t="s">
        <v>12</v>
      </c>
      <c r="N22" s="27"/>
    </row>
    <row r="23" spans="1:15" s="29" customFormat="1" ht="12.75" customHeight="1" x14ac:dyDescent="0.2">
      <c r="A23" s="229" t="s">
        <v>56</v>
      </c>
      <c r="B23" s="56"/>
      <c r="C23" s="230">
        <f>+'7. PPyE'!C23*90%</f>
        <v>371468700</v>
      </c>
      <c r="D23" s="230">
        <f>+C23/15*7</f>
        <v>173352060</v>
      </c>
      <c r="E23" s="230">
        <f>+C23/15</f>
        <v>24764580</v>
      </c>
      <c r="F23" s="231" t="s">
        <v>12</v>
      </c>
      <c r="G23" s="231">
        <f>SUM(D23:F23)</f>
        <v>198116640</v>
      </c>
      <c r="H23" s="88"/>
      <c r="I23" s="230">
        <f>+'7. PPyE'!C23</f>
        <v>412743000</v>
      </c>
      <c r="J23" s="230">
        <f>+I23/10*7</f>
        <v>288920100</v>
      </c>
      <c r="K23" s="230">
        <f>+I23/10</f>
        <v>41274300</v>
      </c>
      <c r="L23" s="231" t="s">
        <v>12</v>
      </c>
      <c r="M23" s="231">
        <f>SUM(J23:L23)</f>
        <v>330194400</v>
      </c>
      <c r="N23" s="27"/>
    </row>
    <row r="24" spans="1:15" s="29" customFormat="1" ht="12.75" customHeight="1" x14ac:dyDescent="0.2">
      <c r="A24" s="229" t="s">
        <v>172</v>
      </c>
      <c r="B24" s="56"/>
      <c r="C24" s="230">
        <f>+'7. PPyE'!C24*90%</f>
        <v>27000000</v>
      </c>
      <c r="D24" s="230">
        <f>+C24/15*7</f>
        <v>12600000</v>
      </c>
      <c r="E24" s="230">
        <f>C24/180*9</f>
        <v>1350000</v>
      </c>
      <c r="F24" s="231">
        <f>-D24-E24</f>
        <v>-13950000</v>
      </c>
      <c r="G24" s="231">
        <f>SUM(D24:F24)</f>
        <v>0</v>
      </c>
      <c r="H24" s="88"/>
      <c r="I24" s="230">
        <f>+'7. PPyE'!C24</f>
        <v>30000000</v>
      </c>
      <c r="J24" s="230">
        <f>+I24/10*7</f>
        <v>21000000</v>
      </c>
      <c r="K24" s="230">
        <f>I24/120*9</f>
        <v>2250000</v>
      </c>
      <c r="L24" s="231">
        <f>-K24-J24</f>
        <v>-23250000</v>
      </c>
      <c r="M24" s="231">
        <f>SUM(J24:L24)</f>
        <v>0</v>
      </c>
      <c r="N24" s="34"/>
      <c r="O24" s="26"/>
    </row>
    <row r="25" spans="1:15" s="29" customFormat="1" ht="12.75" customHeight="1" x14ac:dyDescent="0.2">
      <c r="A25" s="229" t="s">
        <v>173</v>
      </c>
      <c r="B25" s="56"/>
      <c r="C25" s="230">
        <f>+'7. PPyE'!F25*90%</f>
        <v>140130000</v>
      </c>
      <c r="D25" s="230">
        <v>0</v>
      </c>
      <c r="E25" s="230">
        <f>+C25/180*7</f>
        <v>5449500</v>
      </c>
      <c r="F25" s="231"/>
      <c r="G25" s="231">
        <f>SUM(D25:F25)</f>
        <v>5449500</v>
      </c>
      <c r="H25" s="88"/>
      <c r="I25" s="230">
        <f>+C25</f>
        <v>140130000</v>
      </c>
      <c r="J25" s="230">
        <v>0</v>
      </c>
      <c r="K25" s="230">
        <f>+I25/180*7</f>
        <v>5449500</v>
      </c>
      <c r="L25" s="231"/>
      <c r="M25" s="231">
        <f>SUM(J25:L25)</f>
        <v>5449500</v>
      </c>
      <c r="N25" s="27"/>
      <c r="O25" s="26"/>
    </row>
    <row r="26" spans="1:15" s="29" customFormat="1" ht="12.75" customHeight="1" x14ac:dyDescent="0.2">
      <c r="A26" s="229" t="s">
        <v>57</v>
      </c>
      <c r="B26" s="56"/>
      <c r="C26" s="230"/>
      <c r="D26" s="236">
        <f>SUM(D23:D25)</f>
        <v>185952060</v>
      </c>
      <c r="E26" s="236">
        <f>SUM(E23:E25)</f>
        <v>31564080</v>
      </c>
      <c r="F26" s="280">
        <f>SUM(F23:F25)</f>
        <v>-13950000</v>
      </c>
      <c r="G26" s="280">
        <f>SUM(G23:G25)</f>
        <v>203566140</v>
      </c>
      <c r="H26" s="88"/>
      <c r="I26" s="230"/>
      <c r="J26" s="236">
        <f>SUM(J23:J25)</f>
        <v>309920100</v>
      </c>
      <c r="K26" s="236">
        <f>SUM(K23:K25)</f>
        <v>48973800</v>
      </c>
      <c r="L26" s="236">
        <f>SUM(L23:L25)</f>
        <v>-23250000</v>
      </c>
      <c r="M26" s="236">
        <f>SUM(M23:M25)</f>
        <v>335643900</v>
      </c>
      <c r="N26" s="27"/>
    </row>
    <row r="27" spans="1:15" s="29" customFormat="1" ht="12.75" customHeight="1" x14ac:dyDescent="0.2">
      <c r="A27" s="229"/>
      <c r="B27" s="56"/>
      <c r="C27" s="230"/>
      <c r="D27" s="230"/>
      <c r="E27" s="230"/>
      <c r="F27" s="231"/>
      <c r="G27" s="231"/>
      <c r="H27" s="88"/>
      <c r="I27" s="230"/>
      <c r="J27" s="230"/>
      <c r="K27" s="230" t="s">
        <v>12</v>
      </c>
      <c r="L27" s="231" t="s">
        <v>12</v>
      </c>
      <c r="M27" s="231" t="s">
        <v>12</v>
      </c>
      <c r="N27" s="27"/>
    </row>
    <row r="28" spans="1:15" s="20" customFormat="1" ht="12.75" customHeight="1" x14ac:dyDescent="0.2">
      <c r="A28" s="233" t="s">
        <v>472</v>
      </c>
      <c r="B28" s="56"/>
      <c r="C28" s="230"/>
      <c r="D28" s="230"/>
      <c r="E28" s="230"/>
      <c r="F28" s="231"/>
      <c r="G28" s="231"/>
      <c r="H28" s="88"/>
      <c r="I28" s="230"/>
      <c r="J28" s="230"/>
      <c r="K28" s="230" t="s">
        <v>12</v>
      </c>
      <c r="L28" s="231" t="s">
        <v>12</v>
      </c>
      <c r="M28" s="231" t="s">
        <v>12</v>
      </c>
      <c r="N28" s="21"/>
    </row>
    <row r="29" spans="1:15" s="20" customFormat="1" ht="12.75" customHeight="1" x14ac:dyDescent="0.2">
      <c r="A29" s="229" t="s">
        <v>56</v>
      </c>
      <c r="B29" s="56"/>
      <c r="C29" s="230">
        <f>+'7. PPyE'!C29*90%</f>
        <v>169137000</v>
      </c>
      <c r="D29" s="230">
        <f>+C29/8*5.5</f>
        <v>116281687.5</v>
      </c>
      <c r="E29" s="230">
        <f>+C29/8</f>
        <v>21142125</v>
      </c>
      <c r="F29" s="231"/>
      <c r="G29" s="231">
        <f>SUM(D29:F29)</f>
        <v>137423812.5</v>
      </c>
      <c r="H29" s="88"/>
      <c r="I29" s="230">
        <f>+'7. PPyE'!C29</f>
        <v>187930000</v>
      </c>
      <c r="J29" s="230">
        <f>+I29</f>
        <v>187930000</v>
      </c>
      <c r="K29" s="230">
        <v>0</v>
      </c>
      <c r="L29" s="231"/>
      <c r="M29" s="231">
        <f>SUM(J29:L29)</f>
        <v>187930000</v>
      </c>
      <c r="N29" s="21"/>
    </row>
    <row r="30" spans="1:15" s="20" customFormat="1" ht="12.75" customHeight="1" x14ac:dyDescent="0.2">
      <c r="A30" s="56" t="s">
        <v>473</v>
      </c>
      <c r="B30" s="56"/>
      <c r="C30" s="230">
        <f>+'7. PPyE'!F30*90%</f>
        <v>197100000</v>
      </c>
      <c r="D30" s="230">
        <v>0</v>
      </c>
      <c r="E30" s="230">
        <f>C30/8/12*8</f>
        <v>16425000</v>
      </c>
      <c r="F30" s="231"/>
      <c r="G30" s="231">
        <f>SUM(D30:F30)</f>
        <v>16425000</v>
      </c>
      <c r="H30" s="88"/>
      <c r="I30" s="230">
        <f>+C30</f>
        <v>197100000</v>
      </c>
      <c r="J30" s="230">
        <v>0</v>
      </c>
      <c r="K30" s="230">
        <f>+I30/10/12*8</f>
        <v>13140000</v>
      </c>
      <c r="L30" s="231"/>
      <c r="M30" s="231">
        <f>SUM(J30:L30)</f>
        <v>13140000</v>
      </c>
      <c r="N30" s="21"/>
    </row>
    <row r="31" spans="1:15" s="20" customFormat="1" ht="12.75" customHeight="1" x14ac:dyDescent="0.2">
      <c r="A31" s="229" t="s">
        <v>360</v>
      </c>
      <c r="B31" s="56"/>
      <c r="C31" s="230"/>
      <c r="D31" s="236">
        <f>SUM(D29:D30)</f>
        <v>116281687.5</v>
      </c>
      <c r="E31" s="236">
        <f>SUM(E29:E30)</f>
        <v>37567125</v>
      </c>
      <c r="F31" s="236">
        <f>SUM(F29:F30)</f>
        <v>0</v>
      </c>
      <c r="G31" s="236">
        <f>SUM(G29:G30)</f>
        <v>153848812.5</v>
      </c>
      <c r="H31" s="88"/>
      <c r="I31" s="230"/>
      <c r="J31" s="236">
        <f>SUM(J29:J30)</f>
        <v>187930000</v>
      </c>
      <c r="K31" s="236">
        <f>SUM(K29:K30)</f>
        <v>13140000</v>
      </c>
      <c r="L31" s="236">
        <f>SUM(L29:L30)</f>
        <v>0</v>
      </c>
      <c r="M31" s="236">
        <f>SUM(M29:M30)</f>
        <v>201070000</v>
      </c>
      <c r="N31" s="21"/>
    </row>
    <row r="32" spans="1:15" s="20" customFormat="1" ht="12.75" customHeight="1" x14ac:dyDescent="0.2">
      <c r="A32" s="229"/>
      <c r="B32" s="56"/>
      <c r="C32" s="230"/>
      <c r="D32" s="230"/>
      <c r="E32" s="230"/>
      <c r="F32" s="231"/>
      <c r="G32" s="231"/>
      <c r="H32" s="88"/>
      <c r="I32" s="230"/>
      <c r="J32" s="230"/>
      <c r="K32" s="230"/>
      <c r="L32" s="231"/>
      <c r="M32" s="231"/>
      <c r="N32" s="21"/>
    </row>
    <row r="33" spans="1:14" s="29" customFormat="1" ht="12.75" customHeight="1" x14ac:dyDescent="0.2">
      <c r="A33" s="214" t="s">
        <v>356</v>
      </c>
      <c r="B33" s="262"/>
      <c r="C33" s="263"/>
      <c r="D33" s="263">
        <f>+D31+D26+D20+D18+D13</f>
        <v>358972547.5</v>
      </c>
      <c r="E33" s="263">
        <f>+E31+E26+E20+E18+E13</f>
        <v>79444217</v>
      </c>
      <c r="F33" s="263">
        <f>+F31+F26+F20+F18+F13</f>
        <v>-13950000</v>
      </c>
      <c r="G33" s="263">
        <f>+G31+G26+G20+G18+G13</f>
        <v>424466764.5</v>
      </c>
      <c r="H33" s="264"/>
      <c r="I33" s="263"/>
      <c r="J33" s="263">
        <f>+J31+J26+J20+J18+J13</f>
        <v>695742233.33333337</v>
      </c>
      <c r="K33" s="263">
        <f>+K31+K26+K20+K18+K13</f>
        <v>88846812</v>
      </c>
      <c r="L33" s="263">
        <f>+L31+L26+L20+L18+L13</f>
        <v>-23250000</v>
      </c>
      <c r="M33" s="263">
        <f>+M31+M26+M20+M18+M13</f>
        <v>761339045.33333337</v>
      </c>
      <c r="N33" s="27"/>
    </row>
    <row r="34" spans="1:14" s="29" customFormat="1" ht="12.75" customHeight="1" x14ac:dyDescent="0.2">
      <c r="A34" s="138"/>
      <c r="B34" s="38"/>
      <c r="C34" s="38"/>
      <c r="D34" s="281"/>
      <c r="E34" s="281"/>
      <c r="F34" s="90"/>
      <c r="G34" s="90"/>
      <c r="H34" s="88"/>
      <c r="I34" s="88"/>
      <c r="J34" s="90"/>
      <c r="K34" s="90"/>
      <c r="L34" s="90"/>
      <c r="M34" s="90"/>
      <c r="N34" s="27"/>
    </row>
    <row r="35" spans="1:14" s="29" customFormat="1" ht="12.75" customHeight="1" x14ac:dyDescent="0.2">
      <c r="A35" s="22"/>
      <c r="D35" s="30"/>
      <c r="F35" s="11"/>
      <c r="G35" s="11"/>
      <c r="H35" s="10"/>
      <c r="I35" s="10"/>
      <c r="J35" s="11"/>
      <c r="K35" s="11"/>
      <c r="L35" s="11"/>
      <c r="M35" s="11"/>
      <c r="N35" s="27"/>
    </row>
    <row r="36" spans="1:14" s="29" customFormat="1" x14ac:dyDescent="0.2">
      <c r="E36" s="30"/>
      <c r="F36" s="5"/>
      <c r="G36" s="5"/>
      <c r="H36" s="5"/>
      <c r="I36" s="5"/>
    </row>
    <row r="37" spans="1:14" s="29" customFormat="1" x14ac:dyDescent="0.2"/>
    <row r="38" spans="1:14" s="29" customFormat="1" x14ac:dyDescent="0.2"/>
    <row r="39" spans="1:14" s="29" customFormat="1" x14ac:dyDescent="0.2"/>
    <row r="40" spans="1:14" s="29" customFormat="1" x14ac:dyDescent="0.2"/>
    <row r="41" spans="1:14" s="29" customFormat="1" x14ac:dyDescent="0.2"/>
    <row r="42" spans="1:14" s="29" customFormat="1" x14ac:dyDescent="0.2"/>
    <row r="43" spans="1:14" s="29" customFormat="1" x14ac:dyDescent="0.2"/>
    <row r="44" spans="1:14" s="29" customFormat="1" x14ac:dyDescent="0.2"/>
    <row r="45" spans="1:14" s="29" customFormat="1" x14ac:dyDescent="0.2"/>
    <row r="46" spans="1:14" s="29" customFormat="1" x14ac:dyDescent="0.2"/>
    <row r="47" spans="1:14" s="29" customFormat="1" x14ac:dyDescent="0.2"/>
    <row r="48" spans="1:14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pans="1:13" s="29" customFormat="1" x14ac:dyDescent="0.2"/>
    <row r="66" spans="1:13" s="29" customFormat="1" x14ac:dyDescent="0.2"/>
    <row r="67" spans="1:13" s="29" customFormat="1" x14ac:dyDescent="0.2"/>
    <row r="68" spans="1:13" s="29" customFormat="1" x14ac:dyDescent="0.2"/>
    <row r="69" spans="1:13" s="29" customFormat="1" x14ac:dyDescent="0.2"/>
    <row r="70" spans="1:13" s="29" customFormat="1" x14ac:dyDescent="0.2"/>
    <row r="71" spans="1:13" s="29" customFormat="1" x14ac:dyDescent="0.2"/>
    <row r="72" spans="1:13" s="29" customFormat="1" x14ac:dyDescent="0.2"/>
    <row r="73" spans="1:13" s="29" customFormat="1" x14ac:dyDescent="0.2"/>
    <row r="74" spans="1:13" s="29" customFormat="1" x14ac:dyDescent="0.2"/>
    <row r="75" spans="1:13" s="29" customFormat="1" x14ac:dyDescent="0.2">
      <c r="C75" s="31"/>
    </row>
    <row r="76" spans="1:13" s="29" customFormat="1" x14ac:dyDescent="0.2">
      <c r="C76" s="31"/>
    </row>
    <row r="77" spans="1:13" s="29" customFormat="1" x14ac:dyDescent="0.2">
      <c r="C77" s="31"/>
    </row>
    <row r="78" spans="1:13" s="29" customFormat="1" x14ac:dyDescent="0.2">
      <c r="C78" s="31"/>
    </row>
    <row r="79" spans="1:13" s="29" customFormat="1" x14ac:dyDescent="0.2">
      <c r="B79" s="31"/>
      <c r="C79" s="31"/>
      <c r="D79" s="31"/>
      <c r="E79" s="31"/>
      <c r="F79" s="31"/>
      <c r="G79" s="23"/>
      <c r="H79" s="23"/>
      <c r="I79" s="23"/>
      <c r="J79" s="23"/>
      <c r="K79" s="23"/>
      <c r="L79" s="23"/>
      <c r="M79" s="23"/>
    </row>
    <row r="80" spans="1:13" s="29" customFormat="1" x14ac:dyDescent="0.2">
      <c r="A80" s="31"/>
      <c r="B80" s="31"/>
      <c r="C80" s="31"/>
      <c r="D80" s="31"/>
      <c r="E80" s="31"/>
      <c r="F80" s="31"/>
      <c r="G80" s="23"/>
      <c r="H80" s="23"/>
      <c r="I80" s="23"/>
      <c r="J80" s="23"/>
      <c r="K80" s="23"/>
      <c r="L80" s="23"/>
      <c r="M80" s="23"/>
    </row>
    <row r="81" spans="1:15" s="29" customFormat="1" x14ac:dyDescent="0.2">
      <c r="A81" s="31"/>
      <c r="B81" s="31"/>
      <c r="C81" s="31"/>
      <c r="D81" s="31"/>
      <c r="E81" s="31"/>
      <c r="F81" s="31"/>
      <c r="G81" s="23"/>
      <c r="H81" s="23"/>
      <c r="I81" s="23"/>
      <c r="J81" s="23"/>
      <c r="K81" s="23"/>
      <c r="L81" s="23"/>
      <c r="M81" s="23"/>
    </row>
    <row r="82" spans="1:15" s="29" customFormat="1" x14ac:dyDescent="0.2">
      <c r="A82" s="31"/>
      <c r="B82" s="31"/>
      <c r="C82" s="23"/>
      <c r="D82" s="31"/>
      <c r="E82" s="31"/>
      <c r="F82" s="31"/>
      <c r="G82" s="23"/>
      <c r="H82" s="23"/>
      <c r="I82" s="23"/>
      <c r="J82" s="23"/>
      <c r="K82" s="23"/>
      <c r="L82" s="23"/>
      <c r="M82" s="23"/>
    </row>
    <row r="83" spans="1:15" s="29" customFormat="1" x14ac:dyDescent="0.2">
      <c r="A83" s="31"/>
      <c r="B83" s="31"/>
      <c r="C83" s="23"/>
      <c r="D83" s="31"/>
      <c r="E83" s="31"/>
      <c r="F83" s="31"/>
      <c r="G83" s="23"/>
      <c r="H83" s="23"/>
      <c r="I83" s="23"/>
      <c r="J83" s="23"/>
      <c r="K83" s="23"/>
      <c r="L83" s="23"/>
      <c r="M83" s="23"/>
      <c r="N83" s="25"/>
    </row>
    <row r="84" spans="1:15" s="29" customFormat="1" x14ac:dyDescent="0.2">
      <c r="A84" s="31"/>
      <c r="B84" s="31"/>
      <c r="C84" s="23"/>
      <c r="D84" s="31"/>
      <c r="E84" s="31"/>
      <c r="F84" s="31"/>
      <c r="G84" s="5"/>
      <c r="H84" s="23"/>
      <c r="I84" s="23"/>
      <c r="J84" s="23"/>
      <c r="K84" s="23"/>
      <c r="L84" s="23"/>
      <c r="M84" s="23"/>
      <c r="N84" s="25"/>
    </row>
    <row r="85" spans="1:15" s="23" customFormat="1" x14ac:dyDescent="0.2">
      <c r="A85" s="31"/>
      <c r="B85" s="31"/>
      <c r="D85" s="31"/>
      <c r="E85" s="31"/>
      <c r="F85" s="31"/>
      <c r="N85" s="25"/>
      <c r="O85" s="29"/>
    </row>
    <row r="86" spans="1:15" s="23" customFormat="1" x14ac:dyDescent="0.2">
      <c r="C86" s="31"/>
      <c r="N86" s="25"/>
      <c r="O86" s="29"/>
    </row>
    <row r="87" spans="1:15" s="23" customFormat="1" x14ac:dyDescent="0.2">
      <c r="A87" s="31"/>
      <c r="C87" s="31"/>
      <c r="H87" s="24"/>
      <c r="I87" s="24"/>
      <c r="N87" s="25"/>
      <c r="O87" s="29"/>
    </row>
    <row r="88" spans="1:15" s="23" customFormat="1" x14ac:dyDescent="0.2">
      <c r="A88" s="31"/>
      <c r="C88" s="31"/>
      <c r="H88" s="31"/>
      <c r="I88" s="31"/>
      <c r="J88" s="31"/>
      <c r="K88" s="31"/>
      <c r="L88" s="31"/>
      <c r="M88" s="31"/>
      <c r="N88" s="25"/>
    </row>
    <row r="89" spans="1:15" s="23" customFormat="1" x14ac:dyDescent="0.2">
      <c r="C89" s="31"/>
      <c r="H89" s="31"/>
      <c r="I89" s="31"/>
      <c r="J89" s="31"/>
      <c r="K89" s="31"/>
      <c r="L89" s="31"/>
      <c r="M89" s="31"/>
      <c r="N89" s="25"/>
    </row>
    <row r="90" spans="1:15" s="23" customForma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25"/>
    </row>
    <row r="91" spans="1:15" s="23" customForma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25"/>
    </row>
    <row r="92" spans="1:15" s="23" customForma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2"/>
    </row>
    <row r="93" spans="1:15" s="23" customForma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2"/>
    </row>
    <row r="94" spans="1:15" s="23" customForma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25"/>
    </row>
    <row r="95" spans="1:15" s="23" customForma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25"/>
    </row>
    <row r="96" spans="1:15" s="23" customForma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25"/>
    </row>
    <row r="97" spans="1:15" s="23" customForma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25"/>
    </row>
    <row r="98" spans="1:15" s="23" customForma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25"/>
    </row>
    <row r="99" spans="1:15" s="23" customForma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25"/>
    </row>
    <row r="100" spans="1:15" s="23" customForma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25"/>
    </row>
    <row r="101" spans="1:15" s="23" customForma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25"/>
    </row>
    <row r="102" spans="1:15" s="5" customForma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25"/>
      <c r="O102" s="23"/>
    </row>
    <row r="103" spans="1:15" s="23" customForma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25"/>
    </row>
    <row r="104" spans="1:15" s="23" customForma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8"/>
    </row>
    <row r="105" spans="1:15" s="23" customForma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25"/>
      <c r="O105" s="5"/>
    </row>
    <row r="106" spans="1:15" s="23" customForma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25"/>
    </row>
    <row r="107" spans="1:15" s="23" customForma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25"/>
    </row>
    <row r="108" spans="1:15" s="23" customForma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25"/>
    </row>
    <row r="109" spans="1:15" s="23" customForma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25"/>
    </row>
    <row r="110" spans="1:15" s="23" customForma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25"/>
    </row>
    <row r="111" spans="1:15" s="23" customForma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25"/>
    </row>
    <row r="112" spans="1:15" s="23" customForma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25"/>
    </row>
    <row r="113" spans="1:14" s="23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25"/>
    </row>
    <row r="114" spans="1:14" s="23" customForma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25"/>
    </row>
    <row r="115" spans="1:14" s="23" customForma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25"/>
    </row>
    <row r="116" spans="1:14" s="23" customForma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25"/>
    </row>
    <row r="117" spans="1:14" s="23" customForma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25"/>
    </row>
    <row r="118" spans="1:14" s="23" customForma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25"/>
    </row>
    <row r="119" spans="1:14" s="23" customForma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25"/>
    </row>
    <row r="120" spans="1:14" s="23" customFormat="1" x14ac:dyDescent="0.2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25"/>
    </row>
    <row r="121" spans="1:14" s="23" customFormat="1" x14ac:dyDescent="0.2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25"/>
    </row>
    <row r="122" spans="1:14" s="23" customFormat="1" x14ac:dyDescent="0.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25"/>
    </row>
    <row r="123" spans="1:14" s="23" customFormat="1" x14ac:dyDescent="0.2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25"/>
    </row>
    <row r="124" spans="1:14" s="23" customFormat="1" x14ac:dyDescent="0.2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25"/>
    </row>
    <row r="125" spans="1:14" s="23" customFormat="1" x14ac:dyDescent="0.2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25"/>
    </row>
    <row r="126" spans="1:14" s="23" customFormat="1" x14ac:dyDescent="0.2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25"/>
    </row>
    <row r="127" spans="1:14" s="23" customFormat="1" x14ac:dyDescent="0.2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25"/>
    </row>
    <row r="128" spans="1:14" s="23" customFormat="1" x14ac:dyDescent="0.2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25"/>
    </row>
    <row r="129" spans="1:15" x14ac:dyDescent="0.2">
      <c r="N129" s="25"/>
      <c r="O129" s="23"/>
    </row>
    <row r="130" spans="1:15" x14ac:dyDescent="0.2">
      <c r="N130" s="25"/>
      <c r="O130" s="23"/>
    </row>
    <row r="131" spans="1:15" x14ac:dyDescent="0.2">
      <c r="A131" s="33"/>
      <c r="O131" s="23"/>
    </row>
    <row r="137" spans="1:15" x14ac:dyDescent="0.2">
      <c r="N137" s="31"/>
    </row>
    <row r="138" spans="1:15" x14ac:dyDescent="0.2">
      <c r="N138" s="31"/>
    </row>
    <row r="139" spans="1:15" x14ac:dyDescent="0.2">
      <c r="N139" s="31"/>
    </row>
    <row r="140" spans="1:15" x14ac:dyDescent="0.2">
      <c r="N140" s="31"/>
    </row>
    <row r="141" spans="1:15" x14ac:dyDescent="0.2">
      <c r="N141" s="31"/>
    </row>
    <row r="142" spans="1:15" x14ac:dyDescent="0.2">
      <c r="N142" s="31"/>
    </row>
    <row r="143" spans="1:15" x14ac:dyDescent="0.2">
      <c r="N143" s="31"/>
    </row>
    <row r="144" spans="1:15" x14ac:dyDescent="0.2">
      <c r="N144" s="31"/>
    </row>
    <row r="145" spans="14:14" x14ac:dyDescent="0.2">
      <c r="N145" s="31"/>
    </row>
    <row r="146" spans="14:14" x14ac:dyDescent="0.2">
      <c r="N146" s="31"/>
    </row>
    <row r="147" spans="14:14" x14ac:dyDescent="0.2">
      <c r="N147" s="31"/>
    </row>
    <row r="148" spans="14:14" x14ac:dyDescent="0.2">
      <c r="N148" s="31"/>
    </row>
    <row r="149" spans="14:14" x14ac:dyDescent="0.2">
      <c r="N149" s="31"/>
    </row>
    <row r="150" spans="14:14" ht="12.75" customHeight="1" x14ac:dyDescent="0.2">
      <c r="N150" s="31"/>
    </row>
    <row r="151" spans="14:14" ht="12.75" customHeight="1" x14ac:dyDescent="0.2">
      <c r="N151" s="31"/>
    </row>
    <row r="152" spans="14:14" ht="12.75" customHeight="1" x14ac:dyDescent="0.2">
      <c r="N152" s="31"/>
    </row>
    <row r="153" spans="14:14" x14ac:dyDescent="0.2">
      <c r="N153" s="31"/>
    </row>
    <row r="154" spans="14:14" x14ac:dyDescent="0.2">
      <c r="N154" s="31"/>
    </row>
    <row r="155" spans="14:14" x14ac:dyDescent="0.2">
      <c r="N155" s="31"/>
    </row>
    <row r="156" spans="14:14" x14ac:dyDescent="0.2">
      <c r="N156" s="31"/>
    </row>
    <row r="157" spans="14:14" x14ac:dyDescent="0.2">
      <c r="N157" s="31"/>
    </row>
    <row r="158" spans="14:14" x14ac:dyDescent="0.2">
      <c r="N158" s="31"/>
    </row>
    <row r="159" spans="14:14" x14ac:dyDescent="0.2">
      <c r="N159" s="31"/>
    </row>
    <row r="160" spans="14:14" x14ac:dyDescent="0.2">
      <c r="N160" s="31"/>
    </row>
    <row r="161" spans="1:15" x14ac:dyDescent="0.2">
      <c r="N161" s="31"/>
    </row>
    <row r="162" spans="1:15" x14ac:dyDescent="0.2">
      <c r="N162" s="31"/>
    </row>
    <row r="163" spans="1:15" x14ac:dyDescent="0.2">
      <c r="N163" s="31"/>
    </row>
    <row r="164" spans="1:15" x14ac:dyDescent="0.2">
      <c r="N164" s="31"/>
    </row>
    <row r="165" spans="1:15" x14ac:dyDescent="0.2">
      <c r="N165" s="31"/>
    </row>
    <row r="166" spans="1:15" x14ac:dyDescent="0.2">
      <c r="N166" s="31"/>
    </row>
    <row r="167" spans="1:15" x14ac:dyDescent="0.2">
      <c r="N167" s="31"/>
    </row>
    <row r="168" spans="1:15" s="23" customForma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s="23" customForma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s="23" customForma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</row>
    <row r="171" spans="1:15" s="23" customForma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5" s="23" customForma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5" s="5" customForma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</row>
    <row r="174" spans="1:15" s="23" customForma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</row>
    <row r="175" spans="1:15" s="23" customForma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5" s="23" customForma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5"/>
    </row>
    <row r="177" spans="1:15" s="23" customForma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5" s="23" customForma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5" s="23" customFormat="1" x14ac:dyDescent="0.2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5" s="23" customFormat="1" x14ac:dyDescent="0.2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5" s="23" customFormat="1" x14ac:dyDescent="0.2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5" s="23" customFormat="1" x14ac:dyDescent="0.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5" s="23" customFormat="1" x14ac:dyDescent="0.2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5" s="23" customFormat="1" x14ac:dyDescent="0.2">
      <c r="A184" s="31"/>
      <c r="B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5" s="23" customFormat="1" x14ac:dyDescent="0.2">
      <c r="A185" s="31"/>
      <c r="B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5" s="23" customFormat="1" x14ac:dyDescent="0.2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5" s="23" customFormat="1" x14ac:dyDescent="0.2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5" x14ac:dyDescent="0.2">
      <c r="A188" s="23"/>
      <c r="B188" s="23"/>
      <c r="D188" s="23"/>
      <c r="E188" s="23"/>
      <c r="F188" s="23"/>
      <c r="G188" s="23"/>
      <c r="N188" s="31"/>
      <c r="O188" s="23"/>
    </row>
    <row r="189" spans="1:15" x14ac:dyDescent="0.2">
      <c r="A189" s="23"/>
      <c r="B189" s="23"/>
      <c r="D189" s="23"/>
      <c r="E189" s="23"/>
      <c r="F189" s="23"/>
      <c r="G189" s="23"/>
      <c r="N189" s="31"/>
      <c r="O189" s="23"/>
    </row>
    <row r="190" spans="1:15" x14ac:dyDescent="0.2">
      <c r="N190" s="31"/>
      <c r="O190" s="23"/>
    </row>
    <row r="191" spans="1:15" x14ac:dyDescent="0.2">
      <c r="N191" s="31"/>
    </row>
  </sheetData>
  <sheetProtection algorithmName="SHA-512" hashValue="kcrIZ5BoRs9FullkBT7V+FXKHWyVqEmeuBh6qu10VeoccgFQ78xKGUy3opQs5S02K27nxuj/8/I9V44Z+GsXug==" saltValue="tyT0D+BJzU7sM6m9JgtNsQ==" spinCount="100000" sheet="1" objects="1" scenarios="1"/>
  <mergeCells count="2">
    <mergeCell ref="C6:G6"/>
    <mergeCell ref="I6:M6"/>
  </mergeCells>
  <phoneticPr fontId="7" type="noConversion"/>
  <printOptions horizontalCentered="1" verticalCentered="1"/>
  <pageMargins left="0.39370078740157483" right="0.39370078740157483" top="0.59055118110236227" bottom="0.59055118110236227" header="0" footer="0"/>
  <pageSetup scale="95" orientation="landscape" horizontalDpi="360" verticalDpi="360" r:id="rId1"/>
  <headerFooter alignWithMargins="0">
    <oddHeader xml:space="preserve">&amp;C </oddHeader>
    <oddFooter xml:space="preserve">&amp;C </oddFooter>
  </headerFooter>
  <rowBreaks count="1" manualBreakCount="1">
    <brk id="192" max="65535" man="1"/>
  </rowBreaks>
  <ignoredErrors>
    <ignoredError sqref="A1:M2 A18:M22 B17 M17 A31:M32 A30:D30 L30:M30 F30:J30 E30 K30 B16:H16 A25:M29 A24:C24 K24:M24 A34:M37 H17 M16 I16:L16 L17 I17:K17 A33:C33 H33:I33 D33:G33 J33:M33 A23:C23 K23:M23 E24:I24 D23:J23 D24 J24 A4:M15 A3:K3 M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6"/>
  <sheetViews>
    <sheetView zoomScaleNormal="100" workbookViewId="0">
      <selection activeCell="K3" sqref="K3"/>
    </sheetView>
  </sheetViews>
  <sheetFormatPr baseColWidth="10" defaultColWidth="11.42578125" defaultRowHeight="12" x14ac:dyDescent="0.2"/>
  <cols>
    <col min="1" max="1" width="11.7109375" style="5" customWidth="1"/>
    <col min="2" max="2" width="9.28515625" style="5" customWidth="1"/>
    <col min="3" max="3" width="10.5703125" style="5" bestFit="1" customWidth="1"/>
    <col min="4" max="5" width="10.5703125" style="5" customWidth="1"/>
    <col min="6" max="6" width="10.28515625" style="5" bestFit="1" customWidth="1"/>
    <col min="7" max="7" width="10.28515625" style="5" customWidth="1"/>
    <col min="8" max="8" width="10.28515625" style="5" hidden="1" customWidth="1"/>
    <col min="9" max="9" width="12.7109375" style="5" bestFit="1" customWidth="1"/>
    <col min="10" max="11" width="10.7109375" style="5" customWidth="1"/>
    <col min="12" max="12" width="10.7109375" style="5" bestFit="1" customWidth="1"/>
    <col min="13" max="13" width="5.5703125" style="5" bestFit="1" customWidth="1"/>
    <col min="14" max="14" width="9.85546875" style="5" bestFit="1" customWidth="1"/>
    <col min="15" max="15" width="6.28515625" style="9" bestFit="1" customWidth="1"/>
    <col min="16" max="16384" width="11.42578125" style="5"/>
  </cols>
  <sheetData>
    <row r="1" spans="1:15" x14ac:dyDescent="0.2">
      <c r="A1" s="54" t="str">
        <f>+'8. DEPRECIACIÓN'!A1</f>
        <v>EL EXPERTO S.A.S.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x14ac:dyDescent="0.2">
      <c r="A2" s="54" t="str">
        <f>+'8. DEPRECIACIÓN'!A2</f>
        <v>NIT 890.378.233 - 1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x14ac:dyDescent="0.2">
      <c r="A3" s="54" t="str">
        <f>+'8. DEPRECIACIÓN'!A3</f>
        <v>DECLARACION DE RENTA AÑO GRAVABLE 2024</v>
      </c>
      <c r="B3" s="56"/>
      <c r="C3" s="56"/>
      <c r="D3" s="56"/>
      <c r="E3" s="56"/>
      <c r="F3" s="56"/>
      <c r="G3" s="56"/>
      <c r="H3" s="56"/>
      <c r="I3" s="56"/>
      <c r="J3" s="59"/>
      <c r="K3" s="59" t="s">
        <v>80</v>
      </c>
      <c r="L3" s="56"/>
      <c r="M3" s="56"/>
      <c r="N3" s="1"/>
    </row>
    <row r="4" spans="1:15" x14ac:dyDescent="0.2">
      <c r="A4" s="54" t="s">
        <v>382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 t="s">
        <v>12</v>
      </c>
      <c r="M4" s="56"/>
    </row>
    <row r="5" spans="1:15" x14ac:dyDescent="0.2">
      <c r="A5" s="61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x14ac:dyDescent="0.2">
      <c r="A6" s="56"/>
      <c r="B6" s="56"/>
      <c r="C6" s="56"/>
      <c r="D6" s="56"/>
      <c r="E6" s="56"/>
      <c r="F6" s="551" t="s">
        <v>184</v>
      </c>
      <c r="G6" s="552"/>
      <c r="H6" s="552"/>
      <c r="I6" s="220"/>
      <c r="J6" s="556" t="s">
        <v>177</v>
      </c>
      <c r="K6" s="557"/>
      <c r="L6" s="558"/>
      <c r="M6" s="56"/>
      <c r="O6" s="5"/>
    </row>
    <row r="7" spans="1:15" x14ac:dyDescent="0.2">
      <c r="A7" s="282"/>
      <c r="B7" s="283"/>
      <c r="C7" s="284"/>
      <c r="D7" s="244"/>
      <c r="E7" s="244" t="s">
        <v>69</v>
      </c>
      <c r="F7" s="285"/>
      <c r="G7" s="285"/>
      <c r="H7" s="285" t="s">
        <v>184</v>
      </c>
      <c r="I7" s="285" t="s">
        <v>269</v>
      </c>
      <c r="J7" s="286"/>
      <c r="K7" s="286"/>
      <c r="L7" s="286" t="s">
        <v>193</v>
      </c>
      <c r="M7" s="286"/>
      <c r="O7" s="5"/>
    </row>
    <row r="8" spans="1:15" x14ac:dyDescent="0.2">
      <c r="A8" s="221" t="s">
        <v>70</v>
      </c>
      <c r="B8" s="287" t="s">
        <v>71</v>
      </c>
      <c r="C8" s="287" t="s">
        <v>71</v>
      </c>
      <c r="D8" s="248" t="s">
        <v>64</v>
      </c>
      <c r="E8" s="248" t="s">
        <v>195</v>
      </c>
      <c r="F8" s="288" t="s">
        <v>72</v>
      </c>
      <c r="G8" s="288" t="s">
        <v>68</v>
      </c>
      <c r="H8" s="288" t="s">
        <v>73</v>
      </c>
      <c r="I8" s="288" t="s">
        <v>270</v>
      </c>
      <c r="J8" s="289" t="s">
        <v>72</v>
      </c>
      <c r="K8" s="289" t="s">
        <v>68</v>
      </c>
      <c r="L8" s="289" t="s">
        <v>73</v>
      </c>
      <c r="M8" s="289" t="s">
        <v>374</v>
      </c>
      <c r="O8" s="5"/>
    </row>
    <row r="9" spans="1:15" x14ac:dyDescent="0.2">
      <c r="A9" s="290"/>
      <c r="B9" s="291" t="s">
        <v>74</v>
      </c>
      <c r="C9" s="292" t="s">
        <v>75</v>
      </c>
      <c r="D9" s="254" t="s">
        <v>357</v>
      </c>
      <c r="E9" s="254" t="s">
        <v>4</v>
      </c>
      <c r="F9" s="293" t="s">
        <v>76</v>
      </c>
      <c r="G9" s="293" t="s">
        <v>6</v>
      </c>
      <c r="H9" s="293" t="s">
        <v>6</v>
      </c>
      <c r="I9" s="293" t="s">
        <v>271</v>
      </c>
      <c r="J9" s="294" t="s">
        <v>76</v>
      </c>
      <c r="K9" s="294" t="s">
        <v>6</v>
      </c>
      <c r="L9" s="294" t="s">
        <v>194</v>
      </c>
      <c r="M9" s="294" t="s">
        <v>12</v>
      </c>
      <c r="O9" s="5"/>
    </row>
    <row r="10" spans="1:15" x14ac:dyDescent="0.2">
      <c r="A10" s="229"/>
      <c r="B10" s="295"/>
      <c r="C10" s="57"/>
      <c r="D10" s="232"/>
      <c r="E10" s="296"/>
      <c r="F10" s="232"/>
      <c r="G10" s="296"/>
      <c r="H10" s="296"/>
      <c r="I10" s="269"/>
      <c r="J10" s="269"/>
      <c r="K10" s="232"/>
      <c r="L10" s="232"/>
      <c r="M10" s="297"/>
      <c r="O10" s="5"/>
    </row>
    <row r="11" spans="1:15" x14ac:dyDescent="0.2">
      <c r="A11" s="298" t="s">
        <v>203</v>
      </c>
      <c r="B11" s="295"/>
      <c r="C11" s="57"/>
      <c r="D11" s="230"/>
      <c r="E11" s="230"/>
      <c r="F11" s="230"/>
      <c r="G11" s="230"/>
      <c r="H11" s="230"/>
      <c r="I11" s="231"/>
      <c r="J11" s="269"/>
      <c r="K11" s="230"/>
      <c r="L11" s="230"/>
      <c r="M11" s="297"/>
      <c r="O11" s="5"/>
    </row>
    <row r="12" spans="1:15" x14ac:dyDescent="0.2">
      <c r="A12" s="229"/>
      <c r="B12" s="295"/>
      <c r="C12" s="57"/>
      <c r="D12" s="230"/>
      <c r="E12" s="230"/>
      <c r="F12" s="230"/>
      <c r="G12" s="230"/>
      <c r="H12" s="230"/>
      <c r="I12" s="231"/>
      <c r="J12" s="269"/>
      <c r="K12" s="230"/>
      <c r="L12" s="230"/>
      <c r="M12" s="297"/>
      <c r="O12" s="5"/>
    </row>
    <row r="13" spans="1:15" x14ac:dyDescent="0.2">
      <c r="A13" s="229" t="s">
        <v>78</v>
      </c>
      <c r="B13" s="299" t="s">
        <v>99</v>
      </c>
      <c r="C13" s="300" t="s">
        <v>623</v>
      </c>
      <c r="D13" s="230">
        <f>-'7. PPyE'!F11</f>
        <v>108000000</v>
      </c>
      <c r="E13" s="230">
        <f>+J13-D13</f>
        <v>187000000</v>
      </c>
      <c r="F13" s="230"/>
      <c r="G13" s="230"/>
      <c r="H13" s="230"/>
      <c r="I13" s="231"/>
      <c r="J13" s="231">
        <v>295000000</v>
      </c>
      <c r="K13" s="230">
        <f>-'7. PPyE'!K11</f>
        <v>239000000</v>
      </c>
      <c r="L13" s="230">
        <f>+J13-K13</f>
        <v>56000000</v>
      </c>
      <c r="M13" s="301" t="s">
        <v>82</v>
      </c>
      <c r="O13" s="5"/>
    </row>
    <row r="14" spans="1:15" x14ac:dyDescent="0.2">
      <c r="A14" s="229"/>
      <c r="B14" s="299"/>
      <c r="C14" s="302"/>
      <c r="D14" s="230"/>
      <c r="E14" s="230"/>
      <c r="F14" s="230"/>
      <c r="G14" s="230"/>
      <c r="H14" s="230"/>
      <c r="I14" s="231"/>
      <c r="J14" s="231"/>
      <c r="K14" s="230"/>
      <c r="L14" s="230"/>
      <c r="M14" s="301"/>
      <c r="O14" s="5"/>
    </row>
    <row r="15" spans="1:15" x14ac:dyDescent="0.2">
      <c r="A15" s="229" t="s">
        <v>79</v>
      </c>
      <c r="B15" s="295" t="s">
        <v>98</v>
      </c>
      <c r="C15" s="303" t="s">
        <v>505</v>
      </c>
      <c r="D15" s="230">
        <f>-'7. PPyE'!F24+'8. DEPRECIACIÓN'!F24</f>
        <v>16050000</v>
      </c>
      <c r="E15" s="230">
        <f>K28-D15</f>
        <v>11450000</v>
      </c>
      <c r="F15" s="230">
        <v>0</v>
      </c>
      <c r="G15" s="230">
        <v>0</v>
      </c>
      <c r="H15" s="230"/>
      <c r="I15" s="231">
        <f>-K32</f>
        <v>20009525</v>
      </c>
      <c r="J15" s="231">
        <f>+K28-I15</f>
        <v>7490475</v>
      </c>
      <c r="K15" s="230">
        <f>+K29</f>
        <v>7490475</v>
      </c>
      <c r="L15" s="230">
        <f>+J15-K15</f>
        <v>0</v>
      </c>
      <c r="M15" s="301" t="s">
        <v>135</v>
      </c>
      <c r="O15" s="5"/>
    </row>
    <row r="16" spans="1:15" x14ac:dyDescent="0.2">
      <c r="A16" s="229"/>
      <c r="B16" s="300"/>
      <c r="C16" s="302"/>
      <c r="D16" s="230"/>
      <c r="E16" s="230"/>
      <c r="F16" s="230"/>
      <c r="G16" s="230"/>
      <c r="H16" s="230"/>
      <c r="I16" s="231"/>
      <c r="J16" s="231"/>
      <c r="K16" s="230"/>
      <c r="L16" s="230"/>
      <c r="M16" s="304"/>
      <c r="O16" s="5"/>
    </row>
    <row r="17" spans="1:15" ht="12.75" thickBot="1" x14ac:dyDescent="0.25">
      <c r="A17" s="229" t="s">
        <v>84</v>
      </c>
      <c r="B17" s="305"/>
      <c r="C17" s="300"/>
      <c r="D17" s="306">
        <f t="shared" ref="D17:L17" si="0">SUM(D13:D16)</f>
        <v>124050000</v>
      </c>
      <c r="E17" s="307">
        <f t="shared" si="0"/>
        <v>198450000</v>
      </c>
      <c r="F17" s="307">
        <f t="shared" si="0"/>
        <v>0</v>
      </c>
      <c r="G17" s="307">
        <f t="shared" si="0"/>
        <v>0</v>
      </c>
      <c r="H17" s="307">
        <f t="shared" si="0"/>
        <v>0</v>
      </c>
      <c r="I17" s="307">
        <f t="shared" si="0"/>
        <v>20009525</v>
      </c>
      <c r="J17" s="307">
        <f t="shared" si="0"/>
        <v>302490475</v>
      </c>
      <c r="K17" s="307">
        <f t="shared" si="0"/>
        <v>246490475</v>
      </c>
      <c r="L17" s="307">
        <f t="shared" si="0"/>
        <v>56000000</v>
      </c>
      <c r="M17" s="304"/>
      <c r="O17" s="5"/>
    </row>
    <row r="18" spans="1:15" ht="12.75" thickTop="1" x14ac:dyDescent="0.2">
      <c r="A18" s="308"/>
      <c r="B18" s="309"/>
      <c r="C18" s="123"/>
      <c r="D18" s="235"/>
      <c r="E18" s="235"/>
      <c r="F18" s="235"/>
      <c r="G18" s="235"/>
      <c r="H18" s="235"/>
      <c r="I18" s="238"/>
      <c r="J18" s="238"/>
      <c r="K18" s="235"/>
      <c r="L18" s="235"/>
      <c r="M18" s="310"/>
      <c r="O18" s="5"/>
    </row>
    <row r="19" spans="1:15" x14ac:dyDescent="0.2">
      <c r="A19" s="219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311"/>
      <c r="O19" s="5"/>
    </row>
    <row r="20" spans="1:15" x14ac:dyDescent="0.2">
      <c r="A20" s="229"/>
      <c r="B20" s="76" t="s">
        <v>516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269"/>
    </row>
    <row r="21" spans="1:15" x14ac:dyDescent="0.2">
      <c r="A21" s="229"/>
      <c r="B21" s="76" t="s">
        <v>515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269"/>
    </row>
    <row r="22" spans="1:15" x14ac:dyDescent="0.2">
      <c r="A22" s="229"/>
      <c r="B22" s="7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269"/>
    </row>
    <row r="23" spans="1:15" x14ac:dyDescent="0.2">
      <c r="A23" s="229"/>
      <c r="B23" s="76" t="s">
        <v>513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269"/>
    </row>
    <row r="24" spans="1:15" x14ac:dyDescent="0.2">
      <c r="A24" s="229"/>
      <c r="B24" s="76" t="s">
        <v>512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269"/>
    </row>
    <row r="25" spans="1:15" x14ac:dyDescent="0.2">
      <c r="A25" s="229"/>
      <c r="B25" s="76" t="s">
        <v>514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269"/>
    </row>
    <row r="26" spans="1:15" x14ac:dyDescent="0.2">
      <c r="A26" s="229"/>
      <c r="B26" s="7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69"/>
    </row>
    <row r="27" spans="1:15" x14ac:dyDescent="0.2">
      <c r="A27" s="229"/>
      <c r="B27" s="7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269"/>
    </row>
    <row r="28" spans="1:15" x14ac:dyDescent="0.2">
      <c r="A28" s="229"/>
      <c r="B28" s="56" t="s">
        <v>359</v>
      </c>
      <c r="C28" s="56"/>
      <c r="D28" s="56"/>
      <c r="E28" s="56"/>
      <c r="F28" s="88"/>
      <c r="G28" s="56"/>
      <c r="H28" s="56"/>
      <c r="I28" s="56"/>
      <c r="J28" s="88"/>
      <c r="K28" s="88">
        <v>27500000</v>
      </c>
      <c r="L28" s="56"/>
      <c r="M28" s="269"/>
    </row>
    <row r="29" spans="1:15" x14ac:dyDescent="0.2">
      <c r="A29" s="229"/>
      <c r="B29" s="56" t="s">
        <v>243</v>
      </c>
      <c r="C29" s="56"/>
      <c r="D29" s="56"/>
      <c r="E29" s="56"/>
      <c r="F29" s="88"/>
      <c r="G29" s="56" t="s">
        <v>500</v>
      </c>
      <c r="H29" s="56"/>
      <c r="I29" s="56"/>
      <c r="J29" s="88">
        <f>-'7. PPyE'!K24</f>
        <v>30740475</v>
      </c>
      <c r="K29" s="88">
        <f>SUM(J29:J30)</f>
        <v>7490475</v>
      </c>
      <c r="L29" s="56"/>
      <c r="M29" s="269"/>
    </row>
    <row r="30" spans="1:15" x14ac:dyDescent="0.2">
      <c r="A30" s="229"/>
      <c r="B30" s="56"/>
      <c r="C30" s="56"/>
      <c r="D30" s="56"/>
      <c r="E30" s="56"/>
      <c r="F30" s="88"/>
      <c r="G30" s="56" t="s">
        <v>244</v>
      </c>
      <c r="H30" s="56"/>
      <c r="I30" s="56"/>
      <c r="J30" s="92">
        <f>+'8. DEPRECIACIÓN'!L24</f>
        <v>-23250000</v>
      </c>
      <c r="K30" s="92"/>
      <c r="L30" s="56"/>
      <c r="M30" s="269"/>
    </row>
    <row r="31" spans="1:15" x14ac:dyDescent="0.2">
      <c r="A31" s="229"/>
      <c r="B31" s="56" t="s">
        <v>254</v>
      </c>
      <c r="C31" s="56"/>
      <c r="D31" s="56"/>
      <c r="E31" s="56"/>
      <c r="F31" s="88"/>
      <c r="G31" s="56"/>
      <c r="H31" s="56"/>
      <c r="I31" s="56"/>
      <c r="J31" s="88"/>
      <c r="K31" s="88">
        <f>+K28-K29</f>
        <v>20009525</v>
      </c>
      <c r="L31" s="56"/>
      <c r="M31" s="269"/>
    </row>
    <row r="32" spans="1:15" x14ac:dyDescent="0.2">
      <c r="A32" s="229"/>
      <c r="B32" s="56" t="s">
        <v>490</v>
      </c>
      <c r="C32" s="56"/>
      <c r="D32" s="56"/>
      <c r="E32" s="56"/>
      <c r="F32" s="88"/>
      <c r="G32" s="88"/>
      <c r="H32" s="56"/>
      <c r="I32" s="56"/>
      <c r="J32" s="88"/>
      <c r="K32" s="88">
        <f>-K31</f>
        <v>-20009525</v>
      </c>
      <c r="L32" s="56"/>
      <c r="M32" s="269"/>
    </row>
    <row r="33" spans="1:13" ht="12.75" thickBot="1" x14ac:dyDescent="0.25">
      <c r="A33" s="229"/>
      <c r="B33" s="56" t="s">
        <v>277</v>
      </c>
      <c r="C33" s="56"/>
      <c r="D33" s="56"/>
      <c r="E33" s="56"/>
      <c r="F33" s="88"/>
      <c r="G33" s="88"/>
      <c r="H33" s="56"/>
      <c r="I33" s="56"/>
      <c r="J33" s="88"/>
      <c r="K33" s="312">
        <f>SUM(K31:K32)</f>
        <v>0</v>
      </c>
      <c r="L33" s="56"/>
      <c r="M33" s="269"/>
    </row>
    <row r="34" spans="1:13" ht="12.75" thickTop="1" x14ac:dyDescent="0.2">
      <c r="A34" s="308"/>
      <c r="B34" s="123"/>
      <c r="C34" s="123"/>
      <c r="D34" s="123"/>
      <c r="E34" s="123"/>
      <c r="F34" s="92"/>
      <c r="G34" s="92"/>
      <c r="H34" s="92"/>
      <c r="I34" s="92"/>
      <c r="J34" s="92"/>
      <c r="K34" s="123"/>
      <c r="L34" s="123"/>
      <c r="M34" s="313"/>
    </row>
    <row r="35" spans="1:13" x14ac:dyDescent="0.2">
      <c r="A35" s="56"/>
      <c r="B35" s="56"/>
      <c r="C35" s="56"/>
      <c r="D35" s="56"/>
      <c r="E35" s="56"/>
      <c r="F35" s="88"/>
      <c r="G35" s="88"/>
      <c r="H35" s="88"/>
      <c r="I35" s="88"/>
      <c r="J35" s="88"/>
      <c r="K35" s="56"/>
      <c r="L35" s="56"/>
      <c r="M35" s="56"/>
    </row>
    <row r="36" spans="1:13" x14ac:dyDescent="0.2">
      <c r="F36" s="10"/>
      <c r="G36" s="10"/>
      <c r="H36" s="10"/>
      <c r="I36" s="10"/>
      <c r="J36" s="10"/>
    </row>
  </sheetData>
  <sheetProtection algorithmName="SHA-512" hashValue="ulUQAOgfrFAH7KAVtZBYA2ZnMO0cF6a6GoRSdNL918QbM0FcSN9S0Ybtxd5Y4cfRFNZg6YESZDcu0p1sdVYKNg==" saltValue="csCCE4DrB9roMkY2hIKL5w==" spinCount="100000" sheet="1" objects="1" scenarios="1"/>
  <mergeCells count="2">
    <mergeCell ref="F6:H6"/>
    <mergeCell ref="J6:L6"/>
  </mergeCells>
  <phoneticPr fontId="14" type="noConversion"/>
  <printOptions horizontalCentered="1" verticalCentered="1"/>
  <pageMargins left="0.59055118110236227" right="0.59055118110236227" top="0.59055118110236227" bottom="0.59055118110236227" header="0" footer="0"/>
  <pageSetup orientation="landscape" r:id="rId1"/>
  <headerFooter alignWithMargins="0">
    <oddHeader xml:space="preserve">&amp;C </oddHeader>
  </headerFooter>
  <ignoredErrors>
    <ignoredError sqref="A1:M2 A28:M28 A14:L14 A13:B13 D13:L13 A15:B15 D15:L15 A33:M34 A32 C32:M32 A30:M31 A29:F29 H29:M29 A16:M19 A22:M22 A21 C21:M21 A20 C20:M20 A4:M12 A3:J3 L3:M3" unlockedFormula="1"/>
    <ignoredError sqref="M13:M15" numberStoredAsText="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3"/>
  <sheetViews>
    <sheetView zoomScaleNormal="100" workbookViewId="0">
      <selection activeCell="H3" sqref="H3"/>
    </sheetView>
  </sheetViews>
  <sheetFormatPr baseColWidth="10" defaultRowHeight="12" x14ac:dyDescent="0.2"/>
  <cols>
    <col min="1" max="1" width="1.7109375" style="5" customWidth="1"/>
    <col min="2" max="2" width="21.7109375" style="5" customWidth="1"/>
    <col min="3" max="3" width="13.140625" style="5" customWidth="1"/>
    <col min="4" max="4" width="11.7109375" style="5" customWidth="1"/>
    <col min="5" max="5" width="12.7109375" style="5" bestFit="1" customWidth="1"/>
    <col min="6" max="8" width="12" style="5" customWidth="1"/>
    <col min="9" max="16384" width="11.42578125" style="5"/>
  </cols>
  <sheetData>
    <row r="1" spans="1:9" s="9" customFormat="1" x14ac:dyDescent="0.2">
      <c r="A1" s="58"/>
      <c r="B1" s="54" t="str">
        <f>+'9. VTA ACT FIJOS'!A1</f>
        <v>EL EXPERTO S.A.S.</v>
      </c>
      <c r="C1" s="56"/>
      <c r="D1" s="58"/>
      <c r="E1" s="58"/>
      <c r="F1" s="58"/>
      <c r="G1" s="58"/>
      <c r="H1" s="58"/>
      <c r="I1" s="58"/>
    </row>
    <row r="2" spans="1:9" x14ac:dyDescent="0.2">
      <c r="A2" s="56"/>
      <c r="B2" s="54" t="str">
        <f>+'9. VTA ACT FIJOS'!A2</f>
        <v>NIT 890.378.233 - 1</v>
      </c>
      <c r="C2" s="56"/>
      <c r="D2" s="56"/>
      <c r="E2" s="56"/>
      <c r="F2" s="56"/>
      <c r="G2" s="56"/>
      <c r="H2" s="56"/>
      <c r="I2" s="56"/>
    </row>
    <row r="3" spans="1:9" s="9" customFormat="1" x14ac:dyDescent="0.2">
      <c r="A3" s="58"/>
      <c r="B3" s="54" t="str">
        <f>+'9. VTA ACT FIJOS'!A3</f>
        <v>DECLARACION DE RENTA AÑO GRAVABLE 2024</v>
      </c>
      <c r="C3" s="56"/>
      <c r="D3" s="58"/>
      <c r="E3" s="58"/>
      <c r="F3" s="58"/>
      <c r="G3" s="58"/>
      <c r="H3" s="59" t="s">
        <v>150</v>
      </c>
      <c r="I3" s="58"/>
    </row>
    <row r="4" spans="1:9" s="9" customFormat="1" x14ac:dyDescent="0.2">
      <c r="A4" s="58"/>
      <c r="B4" s="54" t="s">
        <v>141</v>
      </c>
      <c r="C4" s="56"/>
      <c r="D4" s="58"/>
      <c r="E4" s="58"/>
      <c r="F4" s="58"/>
      <c r="G4" s="58"/>
      <c r="H4" s="58"/>
      <c r="I4" s="58"/>
    </row>
    <row r="5" spans="1:9" ht="12.7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2.75" customHeight="1" x14ac:dyDescent="0.2">
      <c r="A6" s="56"/>
      <c r="B6" s="314"/>
      <c r="C6" s="315"/>
      <c r="D6" s="316" t="s">
        <v>84</v>
      </c>
      <c r="E6" s="316" t="s">
        <v>459</v>
      </c>
      <c r="F6" s="317"/>
      <c r="G6" s="318" t="s">
        <v>464</v>
      </c>
      <c r="H6" s="317" t="s">
        <v>460</v>
      </c>
      <c r="I6" s="319" t="s">
        <v>460</v>
      </c>
    </row>
    <row r="7" spans="1:9" ht="12.75" customHeight="1" x14ac:dyDescent="0.2">
      <c r="A7" s="56"/>
      <c r="B7" s="320" t="s">
        <v>461</v>
      </c>
      <c r="C7" s="321"/>
      <c r="D7" s="254" t="s">
        <v>126</v>
      </c>
      <c r="E7" s="254" t="s">
        <v>4</v>
      </c>
      <c r="F7" s="293" t="s">
        <v>127</v>
      </c>
      <c r="G7" s="322" t="s">
        <v>465</v>
      </c>
      <c r="H7" s="323">
        <v>0.35</v>
      </c>
      <c r="I7" s="324">
        <v>0.1</v>
      </c>
    </row>
    <row r="8" spans="1:9" ht="12.75" customHeight="1" x14ac:dyDescent="0.2">
      <c r="A8" s="56"/>
      <c r="B8" s="325"/>
      <c r="C8" s="56"/>
      <c r="D8" s="232"/>
      <c r="E8" s="232"/>
      <c r="F8" s="232"/>
      <c r="G8" s="56"/>
      <c r="H8" s="232"/>
      <c r="I8" s="326"/>
    </row>
    <row r="9" spans="1:9" ht="12.75" customHeight="1" x14ac:dyDescent="0.2">
      <c r="A9" s="56"/>
      <c r="B9" s="327" t="str">
        <f>+'6. INVERSIONES'!B10</f>
        <v>BANCO DE OCCIDENTE S.A.</v>
      </c>
      <c r="C9" s="58"/>
      <c r="D9" s="328"/>
      <c r="E9" s="328"/>
      <c r="F9" s="329" t="s">
        <v>12</v>
      </c>
      <c r="G9" s="88" t="s">
        <v>12</v>
      </c>
      <c r="H9" s="230"/>
      <c r="I9" s="330"/>
    </row>
    <row r="10" spans="1:9" ht="12.75" customHeight="1" x14ac:dyDescent="0.2">
      <c r="A10" s="56"/>
      <c r="B10" s="325" t="s">
        <v>128</v>
      </c>
      <c r="C10" s="56"/>
      <c r="D10" s="230">
        <f>750*31800</f>
        <v>23850000</v>
      </c>
      <c r="E10" s="230">
        <f>+D10</f>
        <v>23850000</v>
      </c>
      <c r="F10" s="230"/>
      <c r="G10" s="88">
        <f>+D10</f>
        <v>23850000</v>
      </c>
      <c r="H10" s="230"/>
      <c r="I10" s="330">
        <f>+G10*I7</f>
        <v>2385000</v>
      </c>
    </row>
    <row r="11" spans="1:9" ht="12.75" customHeight="1" x14ac:dyDescent="0.2">
      <c r="A11" s="56"/>
      <c r="B11" s="325"/>
      <c r="C11" s="56"/>
      <c r="D11" s="232"/>
      <c r="E11" s="232"/>
      <c r="F11" s="230"/>
      <c r="G11" s="88"/>
      <c r="H11" s="230"/>
      <c r="I11" s="330"/>
    </row>
    <row r="12" spans="1:9" ht="12.75" customHeight="1" x14ac:dyDescent="0.2">
      <c r="A12" s="56"/>
      <c r="B12" s="327" t="str">
        <f>+'6. INVERSIONES'!B18</f>
        <v>LABORATORIO AMÉRICA S.A.S.</v>
      </c>
      <c r="C12" s="56"/>
      <c r="D12" s="230">
        <v>15300000</v>
      </c>
      <c r="E12" s="230">
        <f>+D12</f>
        <v>15300000</v>
      </c>
      <c r="F12" s="230"/>
      <c r="G12" s="88"/>
      <c r="H12" s="230"/>
      <c r="I12" s="330"/>
    </row>
    <row r="13" spans="1:9" ht="12.75" customHeight="1" x14ac:dyDescent="0.2">
      <c r="A13" s="56"/>
      <c r="B13" s="325" t="s">
        <v>475</v>
      </c>
      <c r="C13" s="56"/>
      <c r="D13" s="230"/>
      <c r="E13" s="230"/>
      <c r="F13" s="230"/>
      <c r="G13" s="88">
        <f>D12*70%</f>
        <v>10710000</v>
      </c>
      <c r="H13" s="230"/>
      <c r="I13" s="330">
        <f>+G13*I7</f>
        <v>1071000</v>
      </c>
    </row>
    <row r="14" spans="1:9" ht="12.75" customHeight="1" x14ac:dyDescent="0.2">
      <c r="A14" s="56"/>
      <c r="B14" s="325" t="s">
        <v>476</v>
      </c>
      <c r="C14" s="56"/>
      <c r="D14" s="230"/>
      <c r="E14" s="230"/>
      <c r="F14" s="230">
        <f>+D12-G13</f>
        <v>4590000</v>
      </c>
      <c r="G14" s="88"/>
      <c r="H14" s="230">
        <f>+F14*H7</f>
        <v>1606500</v>
      </c>
      <c r="I14" s="330">
        <f>+(F14-H14)*I7</f>
        <v>298350</v>
      </c>
    </row>
    <row r="15" spans="1:9" ht="12.75" customHeight="1" x14ac:dyDescent="0.2">
      <c r="A15" s="56"/>
      <c r="B15" s="325"/>
      <c r="C15" s="56"/>
      <c r="D15" s="230"/>
      <c r="E15" s="230"/>
      <c r="F15" s="230"/>
      <c r="G15" s="88"/>
      <c r="H15" s="230"/>
      <c r="I15" s="330"/>
    </row>
    <row r="16" spans="1:9" ht="12.75" customHeight="1" x14ac:dyDescent="0.2">
      <c r="A16" s="56"/>
      <c r="B16" s="327" t="str">
        <f>+'6. INVERSIONES'!B25</f>
        <v>DISTRIBUCIONES ANDINAS S.A.S.</v>
      </c>
      <c r="C16" s="56"/>
      <c r="D16" s="230"/>
      <c r="E16" s="230"/>
      <c r="F16" s="230"/>
      <c r="G16" s="88"/>
      <c r="H16" s="230"/>
      <c r="I16" s="330"/>
    </row>
    <row r="17" spans="1:10" ht="12.75" customHeight="1" x14ac:dyDescent="0.2">
      <c r="A17" s="56"/>
      <c r="B17" s="325" t="s">
        <v>463</v>
      </c>
      <c r="C17" s="56"/>
      <c r="D17" s="235">
        <f>61900000*85%</f>
        <v>52615000</v>
      </c>
      <c r="E17" s="235">
        <v>0</v>
      </c>
      <c r="F17" s="235"/>
      <c r="G17" s="92">
        <f>+D17</f>
        <v>52615000</v>
      </c>
      <c r="H17" s="235"/>
      <c r="I17" s="331">
        <v>0</v>
      </c>
    </row>
    <row r="18" spans="1:10" ht="12.75" customHeight="1" x14ac:dyDescent="0.2">
      <c r="A18" s="56"/>
      <c r="B18" s="325"/>
      <c r="C18" s="58"/>
      <c r="D18" s="328"/>
      <c r="E18" s="328"/>
      <c r="F18" s="232"/>
      <c r="G18" s="88"/>
      <c r="H18" s="230"/>
      <c r="I18" s="330"/>
    </row>
    <row r="19" spans="1:10" ht="12.75" customHeight="1" thickBot="1" x14ac:dyDescent="0.25">
      <c r="A19" s="56"/>
      <c r="B19" s="327" t="s">
        <v>129</v>
      </c>
      <c r="C19" s="58"/>
      <c r="D19" s="241">
        <f t="shared" ref="D19:I19" si="0">SUM(D9:D18)</f>
        <v>91765000</v>
      </c>
      <c r="E19" s="241">
        <f t="shared" si="0"/>
        <v>39150000</v>
      </c>
      <c r="F19" s="241">
        <f t="shared" si="0"/>
        <v>4590000</v>
      </c>
      <c r="G19" s="93">
        <f t="shared" si="0"/>
        <v>87175000</v>
      </c>
      <c r="H19" s="241">
        <f t="shared" si="0"/>
        <v>1606500</v>
      </c>
      <c r="I19" s="332">
        <f t="shared" si="0"/>
        <v>3754350</v>
      </c>
    </row>
    <row r="20" spans="1:10" ht="12.75" customHeight="1" thickTop="1" thickBot="1" x14ac:dyDescent="0.25">
      <c r="A20" s="56"/>
      <c r="B20" s="333"/>
      <c r="C20" s="334"/>
      <c r="D20" s="335"/>
      <c r="E20" s="335"/>
      <c r="F20" s="335"/>
      <c r="G20" s="336"/>
      <c r="H20" s="337"/>
      <c r="I20" s="338"/>
    </row>
    <row r="21" spans="1:10" x14ac:dyDescent="0.2">
      <c r="A21" s="56"/>
      <c r="B21" s="56"/>
      <c r="C21" s="56"/>
      <c r="D21" s="56"/>
      <c r="E21" s="56"/>
      <c r="F21" s="56"/>
      <c r="G21" s="56"/>
      <c r="H21" s="56"/>
      <c r="I21" s="56"/>
    </row>
    <row r="22" spans="1:10" x14ac:dyDescent="0.2">
      <c r="A22" s="56"/>
      <c r="B22" s="56"/>
      <c r="C22" s="56"/>
      <c r="D22" s="56"/>
      <c r="E22" s="56"/>
      <c r="F22" s="56"/>
      <c r="G22" s="56"/>
      <c r="H22" s="56"/>
      <c r="I22" s="56"/>
    </row>
    <row r="23" spans="1:10" s="9" customFormat="1" x14ac:dyDescent="0.2">
      <c r="A23" s="58"/>
      <c r="B23" s="54" t="str">
        <f>+B1</f>
        <v>EL EXPERTO S.A.S.</v>
      </c>
      <c r="C23" s="56"/>
      <c r="D23" s="58"/>
      <c r="E23" s="58"/>
      <c r="F23" s="58"/>
      <c r="G23" s="58"/>
      <c r="H23" s="58"/>
      <c r="I23" s="58"/>
    </row>
    <row r="24" spans="1:10" x14ac:dyDescent="0.2">
      <c r="A24" s="56"/>
      <c r="B24" s="54" t="str">
        <f>+B2</f>
        <v>NIT 890.378.233 - 1</v>
      </c>
      <c r="C24" s="56"/>
      <c r="D24" s="56"/>
      <c r="E24" s="56"/>
      <c r="F24" s="56"/>
      <c r="G24" s="56"/>
      <c r="H24" s="56"/>
      <c r="I24" s="56"/>
    </row>
    <row r="25" spans="1:10" s="9" customFormat="1" x14ac:dyDescent="0.2">
      <c r="A25" s="58"/>
      <c r="B25" s="54" t="str">
        <f>+B3</f>
        <v>DECLARACION DE RENTA AÑO GRAVABLE 2024</v>
      </c>
      <c r="C25" s="56"/>
      <c r="D25" s="58"/>
      <c r="E25" s="58"/>
      <c r="F25" s="59" t="s">
        <v>94</v>
      </c>
      <c r="G25" s="56"/>
      <c r="H25" s="56"/>
      <c r="I25" s="56"/>
      <c r="J25" s="5"/>
    </row>
    <row r="26" spans="1:10" s="9" customFormat="1" x14ac:dyDescent="0.2">
      <c r="A26" s="58"/>
      <c r="B26" s="61" t="s">
        <v>278</v>
      </c>
      <c r="C26" s="56"/>
      <c r="D26" s="58"/>
      <c r="E26" s="58"/>
      <c r="F26" s="58"/>
      <c r="G26" s="56"/>
      <c r="H26" s="56"/>
      <c r="I26" s="56"/>
    </row>
    <row r="27" spans="1:10" ht="12.7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10" x14ac:dyDescent="0.2">
      <c r="A28" s="56"/>
      <c r="B28" s="339"/>
      <c r="C28" s="340"/>
      <c r="D28" s="341"/>
      <c r="E28" s="340"/>
      <c r="F28" s="341"/>
      <c r="G28" s="342"/>
      <c r="H28" s="56"/>
      <c r="I28" s="56"/>
    </row>
    <row r="29" spans="1:10" x14ac:dyDescent="0.2">
      <c r="A29" s="56"/>
      <c r="B29" s="343" t="s">
        <v>255</v>
      </c>
      <c r="C29" s="344" t="s">
        <v>87</v>
      </c>
      <c r="D29" s="345" t="s">
        <v>3</v>
      </c>
      <c r="E29" s="344" t="s">
        <v>88</v>
      </c>
      <c r="F29" s="346" t="s">
        <v>89</v>
      </c>
      <c r="G29" s="347" t="s">
        <v>376</v>
      </c>
      <c r="H29" s="56"/>
      <c r="I29" s="56"/>
    </row>
    <row r="30" spans="1:10" x14ac:dyDescent="0.2">
      <c r="A30" s="56"/>
      <c r="B30" s="348"/>
      <c r="C30" s="349"/>
      <c r="D30" s="350"/>
      <c r="E30" s="349" t="s">
        <v>90</v>
      </c>
      <c r="F30" s="351"/>
      <c r="G30" s="352" t="s">
        <v>377</v>
      </c>
      <c r="H30" s="56"/>
      <c r="I30" s="56"/>
    </row>
    <row r="31" spans="1:10" x14ac:dyDescent="0.2">
      <c r="A31" s="56"/>
      <c r="B31" s="325"/>
      <c r="C31" s="70"/>
      <c r="D31" s="59"/>
      <c r="E31" s="70"/>
      <c r="F31" s="353"/>
      <c r="G31" s="354"/>
      <c r="H31" s="56"/>
      <c r="I31" s="56"/>
    </row>
    <row r="32" spans="1:10" x14ac:dyDescent="0.2">
      <c r="A32" s="56"/>
      <c r="B32" s="325" t="s">
        <v>91</v>
      </c>
      <c r="C32" s="295" t="s">
        <v>208</v>
      </c>
      <c r="D32" s="88">
        <v>55000000</v>
      </c>
      <c r="E32" s="70"/>
      <c r="F32" s="355">
        <f>+(D41/12)*12</f>
        <v>0.12690000000000001</v>
      </c>
      <c r="G32" s="356">
        <f>+D32*F32</f>
        <v>6979500.0000000009</v>
      </c>
      <c r="H32" s="119"/>
      <c r="I32" s="56"/>
    </row>
    <row r="33" spans="1:9" x14ac:dyDescent="0.2">
      <c r="A33" s="56"/>
      <c r="B33" s="325"/>
      <c r="C33" s="357">
        <v>36982</v>
      </c>
      <c r="D33" s="231"/>
      <c r="E33" s="230">
        <v>40000000</v>
      </c>
      <c r="F33" s="355">
        <f>+(D41/12)*9</f>
        <v>9.517500000000001E-2</v>
      </c>
      <c r="G33" s="356">
        <f>+E33*F33</f>
        <v>3807000.0000000005</v>
      </c>
      <c r="H33" s="119"/>
      <c r="I33" s="56"/>
    </row>
    <row r="34" spans="1:9" x14ac:dyDescent="0.2">
      <c r="A34" s="56"/>
      <c r="B34" s="325"/>
      <c r="C34" s="357">
        <v>11505</v>
      </c>
      <c r="D34" s="88"/>
      <c r="E34" s="230">
        <v>18000000</v>
      </c>
      <c r="F34" s="355">
        <f>+(D41/12)*5</f>
        <v>5.2875000000000005E-2</v>
      </c>
      <c r="G34" s="356">
        <f>+E34*F34</f>
        <v>951750.00000000012</v>
      </c>
      <c r="H34" s="119"/>
      <c r="I34" s="56"/>
    </row>
    <row r="35" spans="1:9" x14ac:dyDescent="0.2">
      <c r="A35" s="56"/>
      <c r="B35" s="325"/>
      <c r="C35" s="357">
        <v>45170</v>
      </c>
      <c r="D35" s="230"/>
      <c r="E35" s="88">
        <v>-15000000</v>
      </c>
      <c r="F35" s="355">
        <f>+(D41/12)*3</f>
        <v>3.1725000000000003E-2</v>
      </c>
      <c r="G35" s="358">
        <f>+E35*F35</f>
        <v>-475875.00000000006</v>
      </c>
      <c r="H35" s="119"/>
      <c r="I35" s="56"/>
    </row>
    <row r="36" spans="1:9" x14ac:dyDescent="0.2">
      <c r="A36" s="56"/>
      <c r="B36" s="325"/>
      <c r="C36" s="295"/>
      <c r="D36" s="230"/>
      <c r="E36" s="88"/>
      <c r="F36" s="355"/>
      <c r="G36" s="356" t="s">
        <v>12</v>
      </c>
      <c r="H36" s="119"/>
      <c r="I36" s="56"/>
    </row>
    <row r="37" spans="1:9" ht="12.75" thickBot="1" x14ac:dyDescent="0.25">
      <c r="A37" s="56"/>
      <c r="B37" s="327" t="s">
        <v>375</v>
      </c>
      <c r="C37" s="232"/>
      <c r="D37" s="241">
        <f>D32+E33+E34+E35</f>
        <v>98000000</v>
      </c>
      <c r="E37" s="230"/>
      <c r="F37" s="355"/>
      <c r="G37" s="359">
        <f>SUM(G31:G36)</f>
        <v>11262375.000000002</v>
      </c>
      <c r="H37" s="122"/>
      <c r="I37" s="56"/>
    </row>
    <row r="38" spans="1:9" ht="13.5" thickTop="1" thickBot="1" x14ac:dyDescent="0.25">
      <c r="A38" s="56"/>
      <c r="B38" s="360"/>
      <c r="C38" s="361"/>
      <c r="D38" s="92"/>
      <c r="E38" s="235"/>
      <c r="F38" s="362"/>
      <c r="G38" s="363"/>
      <c r="H38" s="122"/>
      <c r="I38" s="56"/>
    </row>
    <row r="39" spans="1:9" x14ac:dyDescent="0.2">
      <c r="A39" s="56"/>
      <c r="B39" s="364" t="s">
        <v>92</v>
      </c>
      <c r="C39" s="365"/>
      <c r="D39" s="366"/>
      <c r="E39" s="366"/>
      <c r="F39" s="367"/>
      <c r="G39" s="368"/>
      <c r="H39" s="119"/>
      <c r="I39" s="56"/>
    </row>
    <row r="40" spans="1:9" x14ac:dyDescent="0.2">
      <c r="A40" s="56"/>
      <c r="B40" s="325" t="s">
        <v>606</v>
      </c>
      <c r="C40" s="56"/>
      <c r="D40" s="88"/>
      <c r="E40" s="88"/>
      <c r="F40" s="119"/>
      <c r="G40" s="369"/>
      <c r="H40" s="119"/>
      <c r="I40" s="56"/>
    </row>
    <row r="41" spans="1:9" x14ac:dyDescent="0.2">
      <c r="A41" s="56"/>
      <c r="B41" s="325" t="s">
        <v>605</v>
      </c>
      <c r="C41" s="56"/>
      <c r="D41" s="370">
        <v>0.12690000000000001</v>
      </c>
      <c r="E41" s="56"/>
      <c r="F41" s="371"/>
      <c r="G41" s="369"/>
      <c r="H41" s="119"/>
      <c r="I41" s="56"/>
    </row>
    <row r="42" spans="1:9" ht="12.75" thickBot="1" x14ac:dyDescent="0.25">
      <c r="A42" s="56"/>
      <c r="B42" s="372"/>
      <c r="C42" s="334"/>
      <c r="D42" s="336"/>
      <c r="E42" s="336"/>
      <c r="F42" s="373"/>
      <c r="G42" s="374"/>
      <c r="H42" s="119"/>
      <c r="I42" s="56"/>
    </row>
    <row r="43" spans="1:9" x14ac:dyDescent="0.2">
      <c r="A43" s="56"/>
      <c r="B43" s="56"/>
      <c r="C43" s="56"/>
      <c r="D43" s="88"/>
      <c r="E43" s="88"/>
      <c r="F43" s="56"/>
      <c r="G43" s="88" t="s">
        <v>12</v>
      </c>
      <c r="H43" s="88"/>
      <c r="I43" s="56"/>
    </row>
    <row r="44" spans="1:9" x14ac:dyDescent="0.2">
      <c r="A44" s="56"/>
      <c r="B44" s="56"/>
      <c r="C44" s="56"/>
      <c r="D44" s="88"/>
      <c r="E44" s="88"/>
      <c r="F44" s="56"/>
      <c r="G44" s="88" t="s">
        <v>12</v>
      </c>
      <c r="H44" s="88"/>
      <c r="I44" s="56"/>
    </row>
    <row r="45" spans="1:9" x14ac:dyDescent="0.2">
      <c r="A45" s="56"/>
      <c r="B45" s="54" t="str">
        <f>+B1</f>
        <v>EL EXPERTO S.A.S.</v>
      </c>
      <c r="C45" s="56"/>
      <c r="D45" s="88"/>
      <c r="E45" s="88"/>
      <c r="F45" s="56"/>
      <c r="G45" s="88" t="s">
        <v>12</v>
      </c>
      <c r="H45" s="88"/>
      <c r="I45" s="56"/>
    </row>
    <row r="46" spans="1:9" x14ac:dyDescent="0.2">
      <c r="A46" s="56"/>
      <c r="B46" s="54" t="str">
        <f t="shared" ref="B46:B47" si="1">+B2</f>
        <v>NIT 890.378.233 - 1</v>
      </c>
      <c r="C46" s="56"/>
      <c r="D46" s="56"/>
      <c r="E46" s="56"/>
      <c r="F46" s="56"/>
      <c r="G46" s="88" t="s">
        <v>12</v>
      </c>
      <c r="H46" s="88"/>
      <c r="I46" s="56"/>
    </row>
    <row r="47" spans="1:9" x14ac:dyDescent="0.2">
      <c r="A47" s="56"/>
      <c r="B47" s="54" t="str">
        <f t="shared" si="1"/>
        <v>DECLARACION DE RENTA AÑO GRAVABLE 2024</v>
      </c>
      <c r="C47" s="56"/>
      <c r="D47" s="56"/>
      <c r="E47" s="56"/>
      <c r="F47" s="59" t="s">
        <v>86</v>
      </c>
      <c r="G47" s="56"/>
      <c r="H47" s="56"/>
      <c r="I47" s="56"/>
    </row>
    <row r="48" spans="1:9" x14ac:dyDescent="0.2">
      <c r="A48" s="56"/>
      <c r="B48" s="54" t="s">
        <v>256</v>
      </c>
      <c r="C48" s="56"/>
      <c r="D48" s="56"/>
      <c r="E48" s="56"/>
      <c r="F48" s="56"/>
      <c r="G48" s="56"/>
      <c r="H48" s="56"/>
      <c r="I48" s="56"/>
    </row>
    <row r="49" spans="1:10" ht="12.75" thickBot="1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3"/>
    </row>
    <row r="50" spans="1:10" x14ac:dyDescent="0.2">
      <c r="A50" s="56"/>
      <c r="B50" s="375"/>
      <c r="C50" s="376"/>
      <c r="D50" s="376"/>
      <c r="E50" s="377"/>
      <c r="F50" s="378"/>
      <c r="G50" s="56"/>
      <c r="H50" s="56"/>
      <c r="I50" s="56"/>
      <c r="J50" s="3"/>
    </row>
    <row r="51" spans="1:10" x14ac:dyDescent="0.2">
      <c r="A51" s="56"/>
      <c r="B51" s="379"/>
      <c r="C51" s="350"/>
      <c r="D51" s="350"/>
      <c r="E51" s="349" t="s">
        <v>64</v>
      </c>
      <c r="F51" s="380" t="s">
        <v>258</v>
      </c>
      <c r="G51" s="56"/>
      <c r="H51" s="56"/>
      <c r="I51" s="56"/>
      <c r="J51" s="3"/>
    </row>
    <row r="52" spans="1:10" x14ac:dyDescent="0.2">
      <c r="A52" s="56"/>
      <c r="B52" s="325"/>
      <c r="C52" s="56"/>
      <c r="D52" s="56"/>
      <c r="E52" s="270"/>
      <c r="F52" s="381"/>
      <c r="G52" s="56"/>
      <c r="H52" s="56"/>
      <c r="I52" s="56"/>
      <c r="J52" s="3"/>
    </row>
    <row r="53" spans="1:10" x14ac:dyDescent="0.2">
      <c r="A53" s="56"/>
      <c r="B53" s="325" t="s">
        <v>257</v>
      </c>
      <c r="C53" s="56"/>
      <c r="D53" s="56"/>
      <c r="E53" s="230">
        <v>86000000</v>
      </c>
      <c r="F53" s="381">
        <f>+E53*20%</f>
        <v>17200000</v>
      </c>
      <c r="G53" s="56"/>
      <c r="H53" s="56"/>
      <c r="I53" s="56"/>
      <c r="J53" s="3"/>
    </row>
    <row r="54" spans="1:10" x14ac:dyDescent="0.2">
      <c r="A54" s="56"/>
      <c r="B54" s="325" t="s">
        <v>259</v>
      </c>
      <c r="C54" s="56"/>
      <c r="D54" s="56"/>
      <c r="E54" s="235">
        <v>-40150000</v>
      </c>
      <c r="F54" s="381"/>
      <c r="G54" s="56"/>
      <c r="H54" s="56"/>
      <c r="I54" s="56"/>
      <c r="J54" s="3"/>
    </row>
    <row r="55" spans="1:10" x14ac:dyDescent="0.2">
      <c r="A55" s="56"/>
      <c r="B55" s="325"/>
      <c r="C55" s="56"/>
      <c r="D55" s="56"/>
      <c r="E55" s="230"/>
      <c r="F55" s="381"/>
      <c r="G55" s="56"/>
      <c r="H55" s="56"/>
      <c r="I55" s="56"/>
      <c r="J55" s="3"/>
    </row>
    <row r="56" spans="1:10" ht="12.75" thickBot="1" x14ac:dyDescent="0.25">
      <c r="A56" s="56"/>
      <c r="B56" s="325" t="s">
        <v>260</v>
      </c>
      <c r="C56" s="56"/>
      <c r="D56" s="56"/>
      <c r="E56" s="382">
        <f>SUM(E53:E55)</f>
        <v>45850000</v>
      </c>
      <c r="F56" s="381"/>
      <c r="G56" s="56"/>
      <c r="H56" s="56"/>
      <c r="I56" s="56"/>
      <c r="J56" s="3"/>
    </row>
    <row r="57" spans="1:10" ht="12.75" thickTop="1" x14ac:dyDescent="0.2">
      <c r="A57" s="56"/>
      <c r="B57" s="325"/>
      <c r="C57" s="56"/>
      <c r="D57" s="56"/>
      <c r="E57" s="230"/>
      <c r="F57" s="381"/>
      <c r="G57" s="56"/>
      <c r="H57" s="56"/>
      <c r="I57" s="56"/>
      <c r="J57" s="3"/>
    </row>
    <row r="58" spans="1:10" ht="12.75" thickBot="1" x14ac:dyDescent="0.25">
      <c r="A58" s="56"/>
      <c r="B58" s="325" t="s">
        <v>378</v>
      </c>
      <c r="C58" s="56"/>
      <c r="D58" s="383">
        <v>0.35</v>
      </c>
      <c r="E58" s="382">
        <f>ROUND(+E56*D58,-3)</f>
        <v>16048000</v>
      </c>
      <c r="F58" s="381"/>
      <c r="G58" s="56"/>
      <c r="H58" s="56"/>
      <c r="I58" s="56"/>
      <c r="J58" s="3"/>
    </row>
    <row r="59" spans="1:10" ht="12.75" thickTop="1" x14ac:dyDescent="0.2">
      <c r="A59" s="56"/>
      <c r="B59" s="325"/>
      <c r="C59" s="56"/>
      <c r="D59" s="384"/>
      <c r="E59" s="230"/>
      <c r="F59" s="381"/>
      <c r="G59" s="56"/>
      <c r="H59" s="56"/>
      <c r="I59" s="56"/>
      <c r="J59" s="3"/>
    </row>
    <row r="60" spans="1:10" ht="12.75" thickBot="1" x14ac:dyDescent="0.25">
      <c r="A60" s="56"/>
      <c r="B60" s="325" t="s">
        <v>279</v>
      </c>
      <c r="C60" s="56"/>
      <c r="D60" s="384"/>
      <c r="E60" s="382">
        <f>ROUND(IF(E58&gt;F53,F53,E58),-3)</f>
        <v>16048000</v>
      </c>
      <c r="F60" s="381"/>
      <c r="G60" s="56"/>
      <c r="H60" s="56"/>
      <c r="I60" s="56"/>
      <c r="J60" s="3"/>
    </row>
    <row r="61" spans="1:10" ht="13.5" thickTop="1" thickBot="1" x14ac:dyDescent="0.25">
      <c r="A61" s="56"/>
      <c r="B61" s="333"/>
      <c r="C61" s="334"/>
      <c r="D61" s="385"/>
      <c r="E61" s="337"/>
      <c r="F61" s="386"/>
      <c r="G61" s="56"/>
      <c r="H61" s="56"/>
      <c r="I61" s="56"/>
      <c r="J61" s="3"/>
    </row>
    <row r="62" spans="1:10" x14ac:dyDescent="0.2">
      <c r="A62" s="56"/>
      <c r="B62" s="56"/>
      <c r="C62" s="56"/>
      <c r="D62" s="384"/>
      <c r="E62" s="56"/>
      <c r="F62" s="56"/>
      <c r="G62" s="56"/>
      <c r="H62" s="56"/>
      <c r="I62" s="56"/>
      <c r="J62" s="3"/>
    </row>
    <row r="63" spans="1:10" x14ac:dyDescent="0.2">
      <c r="J63" s="3"/>
    </row>
  </sheetData>
  <sheetProtection algorithmName="SHA-512" hashValue="SoTKPohwHA1xRl8VqiRlSTdTclzXtGeou/RFoTgI3Hjx5N52bJee2D6gpnLJ9xDGnQw9IspMijn1+EtjN91xOg==" saltValue="NecQuAL1LaMdYncOgJba2w==" spinCount="100000" sheet="1" objects="1" scenarios="1"/>
  <phoneticPr fontId="7" type="noConversion"/>
  <printOptions horizontalCentered="1" verticalCentered="1"/>
  <pageMargins left="0.78740157480314965" right="0.78740157480314965" top="0.59055118110236227" bottom="0.59055118110236227" header="0.82677165354330717" footer="1.1023622047244095"/>
  <pageSetup scale="83" orientation="portrait" r:id="rId1"/>
  <headerFooter alignWithMargins="0"/>
  <ignoredErrors>
    <ignoredError sqref="I1:I6 B1:G2 I15:I38 I11:I12 H10:I10 H13:I13 H11:H12 H19 B42:G46 C41 C40:G40 E41:G41 B59:G59 B58:C58 E58:G58 B14:G15 B13:E13 G13 H14:I14 B61:G61 B60:D60 E60:G60 I8:I9 B35:G38 B34:D34 F34:G34 B39:G39 B16:G24 B4:G12 B3:E3 G3 I39:I61 B26:G33 B25:E25 G25 B48:G57 B47:E47 G4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82"/>
  <sheetViews>
    <sheetView zoomScaleNormal="100" workbookViewId="0">
      <selection activeCell="G3" sqref="G3"/>
    </sheetView>
  </sheetViews>
  <sheetFormatPr baseColWidth="10" defaultRowHeight="12" customHeight="1" x14ac:dyDescent="0.2"/>
  <cols>
    <col min="1" max="1" width="1.7109375" style="5" customWidth="1"/>
    <col min="2" max="2" width="29.42578125" style="5" customWidth="1"/>
    <col min="3" max="4" width="7.7109375" style="5" customWidth="1"/>
    <col min="5" max="5" width="12.85546875" style="5" bestFit="1" customWidth="1"/>
    <col min="6" max="6" width="5.7109375" style="5" customWidth="1"/>
    <col min="7" max="7" width="11.42578125" style="5" bestFit="1" customWidth="1"/>
    <col min="8" max="8" width="7.42578125" style="5" bestFit="1" customWidth="1"/>
    <col min="9" max="9" width="14.7109375" style="5" customWidth="1"/>
    <col min="10" max="16384" width="11.42578125" style="5"/>
  </cols>
  <sheetData>
    <row r="1" spans="1:12" ht="12" customHeight="1" x14ac:dyDescent="0.2">
      <c r="A1" s="56"/>
      <c r="B1" s="54" t="str">
        <f>+'10. INGRESOS'!B1</f>
        <v>EL EXPERTO S.A.S.</v>
      </c>
      <c r="C1" s="56"/>
      <c r="D1" s="56"/>
      <c r="E1" s="56"/>
      <c r="F1" s="56"/>
      <c r="G1" s="56"/>
      <c r="H1" s="56"/>
      <c r="I1" s="56"/>
    </row>
    <row r="2" spans="1:12" ht="12" customHeight="1" x14ac:dyDescent="0.2">
      <c r="A2" s="56"/>
      <c r="B2" s="54" t="str">
        <f>+'10. INGRESOS'!B2</f>
        <v>NIT 890.378.233 - 1</v>
      </c>
      <c r="C2" s="56"/>
      <c r="D2" s="56"/>
      <c r="E2" s="56"/>
      <c r="F2" s="56"/>
      <c r="G2" s="56"/>
      <c r="H2" s="56"/>
      <c r="I2" s="56"/>
    </row>
    <row r="3" spans="1:12" ht="12" customHeight="1" x14ac:dyDescent="0.2">
      <c r="A3" s="56"/>
      <c r="B3" s="54" t="str">
        <f>+'10. INGRESOS'!B3</f>
        <v>DECLARACION DE RENTA AÑO GRAVABLE 2024</v>
      </c>
      <c r="C3" s="56"/>
      <c r="D3" s="56"/>
      <c r="E3" s="56"/>
      <c r="F3" s="56"/>
      <c r="G3" s="59" t="s">
        <v>152</v>
      </c>
      <c r="H3" s="56"/>
      <c r="I3" s="59"/>
    </row>
    <row r="4" spans="1:12" ht="12" customHeight="1" x14ac:dyDescent="0.2">
      <c r="A4" s="56"/>
      <c r="B4" s="54" t="s">
        <v>217</v>
      </c>
      <c r="C4" s="56"/>
      <c r="D4" s="56"/>
      <c r="E4" s="56"/>
      <c r="F4" s="56"/>
      <c r="G4" s="56"/>
      <c r="H4" s="59"/>
      <c r="I4" s="59"/>
    </row>
    <row r="5" spans="1:12" ht="12" customHeight="1" thickBot="1" x14ac:dyDescent="0.25">
      <c r="A5" s="56"/>
      <c r="B5" s="54"/>
      <c r="C5" s="56"/>
      <c r="D5" s="56"/>
      <c r="E5" s="56"/>
      <c r="F5" s="56"/>
      <c r="G5" s="56"/>
      <c r="H5" s="56"/>
      <c r="I5" s="59"/>
      <c r="J5" s="1"/>
    </row>
    <row r="6" spans="1:12" ht="12" customHeight="1" x14ac:dyDescent="0.2">
      <c r="A6" s="56"/>
      <c r="B6" s="375"/>
      <c r="C6" s="376"/>
      <c r="D6" s="376"/>
      <c r="E6" s="377" t="s">
        <v>210</v>
      </c>
      <c r="F6" s="376"/>
      <c r="G6" s="387"/>
      <c r="H6" s="56"/>
      <c r="I6" s="59"/>
      <c r="J6" s="6"/>
      <c r="K6" s="2"/>
      <c r="L6" s="2"/>
    </row>
    <row r="7" spans="1:12" ht="12" customHeight="1" x14ac:dyDescent="0.2">
      <c r="A7" s="56"/>
      <c r="B7" s="379"/>
      <c r="C7" s="350"/>
      <c r="D7" s="350"/>
      <c r="E7" s="349" t="s">
        <v>211</v>
      </c>
      <c r="F7" s="350"/>
      <c r="G7" s="352" t="s">
        <v>212</v>
      </c>
      <c r="H7" s="56"/>
      <c r="I7" s="59"/>
      <c r="J7" s="6"/>
      <c r="K7" s="2"/>
      <c r="L7" s="2"/>
    </row>
    <row r="8" spans="1:12" ht="12" customHeight="1" x14ac:dyDescent="0.2">
      <c r="A8" s="56"/>
      <c r="B8" s="325"/>
      <c r="C8" s="56"/>
      <c r="D8" s="56"/>
      <c r="E8" s="232"/>
      <c r="F8" s="56"/>
      <c r="G8" s="388"/>
      <c r="H8" s="56"/>
      <c r="I8" s="59"/>
      <c r="J8" s="6"/>
      <c r="K8" s="2"/>
      <c r="L8" s="2"/>
    </row>
    <row r="9" spans="1:12" ht="12" customHeight="1" x14ac:dyDescent="0.2">
      <c r="A9" s="56"/>
      <c r="B9" s="325" t="s">
        <v>214</v>
      </c>
      <c r="C9" s="56"/>
      <c r="D9" s="79"/>
      <c r="E9" s="389">
        <v>973510000</v>
      </c>
      <c r="F9" s="79"/>
      <c r="G9" s="390">
        <v>103712000</v>
      </c>
      <c r="H9" s="56"/>
      <c r="I9" s="59"/>
      <c r="J9" s="6"/>
      <c r="K9" s="2"/>
      <c r="L9" s="2"/>
    </row>
    <row r="10" spans="1:12" ht="12" customHeight="1" x14ac:dyDescent="0.2">
      <c r="A10" s="56"/>
      <c r="B10" s="325"/>
      <c r="C10" s="56"/>
      <c r="D10" s="79"/>
      <c r="E10" s="389"/>
      <c r="F10" s="79"/>
      <c r="G10" s="390"/>
      <c r="H10" s="56"/>
      <c r="I10" s="59"/>
      <c r="J10" s="6"/>
      <c r="K10" s="2"/>
      <c r="L10" s="2"/>
    </row>
    <row r="11" spans="1:12" ht="12" customHeight="1" x14ac:dyDescent="0.2">
      <c r="A11" s="56"/>
      <c r="B11" s="325" t="s">
        <v>215</v>
      </c>
      <c r="C11" s="56"/>
      <c r="D11" s="79"/>
      <c r="E11" s="389"/>
      <c r="F11" s="79"/>
      <c r="G11" s="390"/>
      <c r="H11" s="56"/>
      <c r="I11" s="59"/>
      <c r="J11" s="6"/>
      <c r="K11" s="2"/>
      <c r="L11" s="2"/>
    </row>
    <row r="12" spans="1:12" ht="12" customHeight="1" x14ac:dyDescent="0.2">
      <c r="A12" s="56"/>
      <c r="B12" s="325"/>
      <c r="C12" s="56"/>
      <c r="D12" s="79"/>
      <c r="E12" s="389"/>
      <c r="F12" s="79"/>
      <c r="G12" s="390"/>
      <c r="H12" s="56"/>
      <c r="I12" s="59"/>
      <c r="J12" s="6"/>
      <c r="K12" s="2"/>
      <c r="L12" s="2"/>
    </row>
    <row r="13" spans="1:12" ht="12" customHeight="1" x14ac:dyDescent="0.2">
      <c r="A13" s="56"/>
      <c r="B13" s="325" t="s">
        <v>213</v>
      </c>
      <c r="C13" s="56"/>
      <c r="D13" s="79"/>
      <c r="E13" s="389">
        <v>-9250000</v>
      </c>
      <c r="F13" s="391" t="s">
        <v>82</v>
      </c>
      <c r="G13" s="390"/>
      <c r="H13" s="56"/>
      <c r="I13" s="59"/>
      <c r="J13" s="6"/>
      <c r="K13" s="2"/>
      <c r="L13" s="2"/>
    </row>
    <row r="14" spans="1:12" ht="12" customHeight="1" x14ac:dyDescent="0.2">
      <c r="A14" s="56"/>
      <c r="B14" s="325" t="s">
        <v>265</v>
      </c>
      <c r="C14" s="56"/>
      <c r="D14" s="79"/>
      <c r="E14" s="389"/>
      <c r="F14" s="392"/>
      <c r="G14" s="390"/>
      <c r="H14" s="56"/>
      <c r="I14" s="59"/>
      <c r="J14" s="6"/>
      <c r="K14" s="2"/>
      <c r="L14" s="2"/>
    </row>
    <row r="15" spans="1:12" ht="12" customHeight="1" x14ac:dyDescent="0.2">
      <c r="A15" s="56"/>
      <c r="B15" s="325" t="s">
        <v>266</v>
      </c>
      <c r="C15" s="56"/>
      <c r="D15" s="79"/>
      <c r="E15" s="389">
        <v>-54943000</v>
      </c>
      <c r="F15" s="391" t="s">
        <v>135</v>
      </c>
      <c r="G15" s="390"/>
      <c r="H15" s="56"/>
      <c r="I15" s="59"/>
      <c r="J15" s="6"/>
      <c r="K15" s="2"/>
      <c r="L15" s="2"/>
    </row>
    <row r="16" spans="1:12" ht="12" customHeight="1" x14ac:dyDescent="0.2">
      <c r="A16" s="56"/>
      <c r="B16" s="325"/>
      <c r="C16" s="56"/>
      <c r="D16" s="79"/>
      <c r="E16" s="393">
        <f>SUM(E12:E15)</f>
        <v>-64193000</v>
      </c>
      <c r="F16" s="392"/>
      <c r="G16" s="390"/>
      <c r="H16" s="56"/>
      <c r="I16" s="59"/>
      <c r="J16" s="6"/>
      <c r="K16" s="2"/>
      <c r="L16" s="2"/>
    </row>
    <row r="17" spans="1:12" ht="12" customHeight="1" x14ac:dyDescent="0.2">
      <c r="A17" s="56"/>
      <c r="B17" s="325"/>
      <c r="C17" s="56"/>
      <c r="D17" s="79"/>
      <c r="E17" s="389"/>
      <c r="F17" s="392"/>
      <c r="G17" s="390"/>
      <c r="H17" s="56"/>
      <c r="I17" s="59"/>
      <c r="J17" s="6"/>
      <c r="K17" s="2"/>
      <c r="L17" s="2"/>
    </row>
    <row r="18" spans="1:12" ht="12" customHeight="1" x14ac:dyDescent="0.2">
      <c r="A18" s="56"/>
      <c r="B18" s="325" t="s">
        <v>216</v>
      </c>
      <c r="C18" s="56"/>
      <c r="D18" s="79"/>
      <c r="E18" s="389"/>
      <c r="F18" s="392"/>
      <c r="G18" s="390"/>
      <c r="H18" s="56"/>
      <c r="I18" s="59"/>
      <c r="J18" s="6"/>
      <c r="K18" s="2"/>
      <c r="L18" s="2"/>
    </row>
    <row r="19" spans="1:12" ht="12" customHeight="1" x14ac:dyDescent="0.2">
      <c r="A19" s="56"/>
      <c r="B19" s="325"/>
      <c r="C19" s="56"/>
      <c r="D19" s="79"/>
      <c r="E19" s="389"/>
      <c r="F19" s="392"/>
      <c r="G19" s="390"/>
      <c r="H19" s="56"/>
      <c r="I19" s="59"/>
      <c r="J19" s="6"/>
      <c r="K19" s="2"/>
      <c r="L19" s="2"/>
    </row>
    <row r="20" spans="1:12" ht="12" customHeight="1" x14ac:dyDescent="0.2">
      <c r="A20" s="56"/>
      <c r="B20" s="325" t="s">
        <v>261</v>
      </c>
      <c r="C20" s="56"/>
      <c r="D20" s="79"/>
      <c r="E20" s="389">
        <v>29420000</v>
      </c>
      <c r="F20" s="391" t="s">
        <v>139</v>
      </c>
      <c r="G20" s="390"/>
      <c r="H20" s="56"/>
      <c r="I20" s="59"/>
      <c r="J20" s="6"/>
      <c r="K20" s="2"/>
      <c r="L20" s="2"/>
    </row>
    <row r="21" spans="1:12" ht="12" customHeight="1" x14ac:dyDescent="0.2">
      <c r="A21" s="56"/>
      <c r="B21" s="325" t="s">
        <v>492</v>
      </c>
      <c r="C21" s="56"/>
      <c r="D21" s="79"/>
      <c r="E21" s="389">
        <f>38000000*20%</f>
        <v>7600000</v>
      </c>
      <c r="F21" s="391" t="s">
        <v>493</v>
      </c>
      <c r="G21" s="390"/>
      <c r="H21" s="56"/>
      <c r="I21" s="59"/>
      <c r="J21" s="6"/>
      <c r="K21" s="2"/>
      <c r="L21" s="2"/>
    </row>
    <row r="22" spans="1:12" ht="12" customHeight="1" x14ac:dyDescent="0.2">
      <c r="A22" s="56"/>
      <c r="B22" s="325"/>
      <c r="C22" s="56"/>
      <c r="D22" s="79"/>
      <c r="E22" s="389"/>
      <c r="F22" s="391"/>
      <c r="G22" s="390"/>
      <c r="H22" s="56"/>
      <c r="I22" s="59"/>
      <c r="J22" s="6"/>
      <c r="K22" s="2"/>
      <c r="L22" s="2"/>
    </row>
    <row r="23" spans="1:12" ht="12" customHeight="1" x14ac:dyDescent="0.2">
      <c r="A23" s="56"/>
      <c r="B23" s="325"/>
      <c r="C23" s="56"/>
      <c r="D23" s="79"/>
      <c r="E23" s="393">
        <f>SUM(E19:E22)</f>
        <v>37020000</v>
      </c>
      <c r="F23" s="391"/>
      <c r="G23" s="394">
        <f>SUM(G19:G22)</f>
        <v>0</v>
      </c>
      <c r="H23" s="56"/>
      <c r="I23" s="59"/>
      <c r="J23" s="6"/>
      <c r="K23" s="2"/>
      <c r="L23" s="2"/>
    </row>
    <row r="24" spans="1:12" ht="12" customHeight="1" x14ac:dyDescent="0.2">
      <c r="A24" s="56"/>
      <c r="B24" s="325"/>
      <c r="C24" s="56"/>
      <c r="D24" s="79"/>
      <c r="E24" s="389"/>
      <c r="F24" s="79"/>
      <c r="G24" s="390"/>
      <c r="H24" s="56"/>
      <c r="I24" s="59"/>
      <c r="J24" s="6"/>
      <c r="K24" s="2"/>
      <c r="L24" s="2"/>
    </row>
    <row r="25" spans="1:12" ht="12" customHeight="1" thickBot="1" x14ac:dyDescent="0.25">
      <c r="A25" s="56"/>
      <c r="B25" s="327" t="s">
        <v>262</v>
      </c>
      <c r="C25" s="58"/>
      <c r="D25" s="114"/>
      <c r="E25" s="395">
        <f>+E9+E16+E23</f>
        <v>946337000</v>
      </c>
      <c r="F25" s="79"/>
      <c r="G25" s="396">
        <f>+G9+G16+G23</f>
        <v>103712000</v>
      </c>
      <c r="H25" s="56"/>
      <c r="I25" s="59"/>
      <c r="J25" s="1"/>
    </row>
    <row r="26" spans="1:12" ht="12" customHeight="1" thickTop="1" x14ac:dyDescent="0.2">
      <c r="A26" s="56"/>
      <c r="B26" s="360"/>
      <c r="C26" s="123"/>
      <c r="D26" s="77"/>
      <c r="E26" s="397"/>
      <c r="F26" s="77"/>
      <c r="G26" s="398"/>
      <c r="H26" s="56"/>
      <c r="I26" s="59"/>
      <c r="J26" s="1"/>
    </row>
    <row r="27" spans="1:12" ht="12" customHeight="1" x14ac:dyDescent="0.2">
      <c r="A27" s="56"/>
      <c r="B27" s="325"/>
      <c r="C27" s="56"/>
      <c r="D27" s="79"/>
      <c r="E27" s="79"/>
      <c r="F27" s="79"/>
      <c r="G27" s="399"/>
      <c r="H27" s="56"/>
      <c r="I27" s="59"/>
      <c r="J27" s="1"/>
    </row>
    <row r="28" spans="1:12" ht="12" customHeight="1" x14ac:dyDescent="0.2">
      <c r="A28" s="56"/>
      <c r="B28" s="325" t="s">
        <v>507</v>
      </c>
      <c r="C28" s="56"/>
      <c r="D28" s="56"/>
      <c r="E28" s="56"/>
      <c r="F28" s="56"/>
      <c r="G28" s="400"/>
      <c r="H28" s="56"/>
      <c r="I28" s="59"/>
      <c r="J28" s="1"/>
    </row>
    <row r="29" spans="1:12" ht="12" customHeight="1" x14ac:dyDescent="0.2">
      <c r="A29" s="56"/>
      <c r="B29" s="325" t="s">
        <v>499</v>
      </c>
      <c r="C29" s="56"/>
      <c r="D29" s="56"/>
      <c r="E29" s="56"/>
      <c r="F29" s="56"/>
      <c r="G29" s="400"/>
      <c r="H29" s="56"/>
      <c r="I29" s="59"/>
      <c r="J29" s="1"/>
    </row>
    <row r="30" spans="1:12" ht="12" customHeight="1" x14ac:dyDescent="0.2">
      <c r="A30" s="56"/>
      <c r="B30" s="325" t="s">
        <v>494</v>
      </c>
      <c r="C30" s="56"/>
      <c r="D30" s="56"/>
      <c r="E30" s="56"/>
      <c r="F30" s="56"/>
      <c r="G30" s="400"/>
      <c r="H30" s="56"/>
      <c r="I30" s="59"/>
      <c r="J30" s="1"/>
    </row>
    <row r="31" spans="1:12" ht="12" customHeight="1" x14ac:dyDescent="0.2">
      <c r="A31" s="56"/>
      <c r="B31" s="325" t="s">
        <v>482</v>
      </c>
      <c r="C31" s="56"/>
      <c r="D31" s="56"/>
      <c r="E31" s="56"/>
      <c r="F31" s="56"/>
      <c r="G31" s="400"/>
      <c r="H31" s="59"/>
      <c r="I31" s="59"/>
    </row>
    <row r="32" spans="1:12" ht="12" customHeight="1" x14ac:dyDescent="0.2">
      <c r="A32" s="56"/>
      <c r="B32" s="325" t="s">
        <v>509</v>
      </c>
      <c r="C32" s="56"/>
      <c r="D32" s="56"/>
      <c r="E32" s="56"/>
      <c r="F32" s="56"/>
      <c r="G32" s="400"/>
      <c r="H32" s="59"/>
      <c r="I32" s="59"/>
    </row>
    <row r="33" spans="1:9" ht="12" customHeight="1" x14ac:dyDescent="0.2">
      <c r="A33" s="56"/>
      <c r="B33" s="325" t="s">
        <v>508</v>
      </c>
      <c r="C33" s="56"/>
      <c r="D33" s="56"/>
      <c r="E33" s="56"/>
      <c r="F33" s="56"/>
      <c r="G33" s="400"/>
      <c r="H33" s="59"/>
      <c r="I33" s="59"/>
    </row>
    <row r="34" spans="1:9" ht="12" customHeight="1" thickBot="1" x14ac:dyDescent="0.25">
      <c r="A34" s="56"/>
      <c r="B34" s="401"/>
      <c r="C34" s="334"/>
      <c r="D34" s="334"/>
      <c r="E34" s="334"/>
      <c r="F34" s="334"/>
      <c r="G34" s="402"/>
      <c r="H34" s="59"/>
      <c r="I34" s="59"/>
    </row>
    <row r="35" spans="1:9" ht="12" customHeight="1" x14ac:dyDescent="0.2">
      <c r="A35" s="56"/>
      <c r="B35" s="54"/>
      <c r="C35" s="56"/>
      <c r="D35" s="56"/>
      <c r="E35" s="56"/>
      <c r="F35" s="56"/>
      <c r="G35" s="56"/>
      <c r="H35" s="59"/>
      <c r="I35" s="59"/>
    </row>
    <row r="36" spans="1:9" ht="12" customHeight="1" x14ac:dyDescent="0.2">
      <c r="A36" s="56"/>
      <c r="B36" s="54"/>
      <c r="C36" s="56"/>
      <c r="D36" s="56"/>
      <c r="E36" s="56"/>
      <c r="F36" s="56"/>
      <c r="G36" s="56"/>
      <c r="H36" s="59"/>
      <c r="I36" s="59"/>
    </row>
    <row r="37" spans="1:9" ht="12" customHeight="1" x14ac:dyDescent="0.2">
      <c r="A37" s="56"/>
      <c r="B37" s="54" t="str">
        <f>+B1</f>
        <v>EL EXPERTO S.A.S.</v>
      </c>
      <c r="C37" s="56"/>
      <c r="D37" s="56"/>
      <c r="E37" s="56"/>
      <c r="F37" s="56"/>
      <c r="G37" s="56"/>
      <c r="H37" s="59"/>
      <c r="I37" s="59"/>
    </row>
    <row r="38" spans="1:9" ht="12" customHeight="1" x14ac:dyDescent="0.2">
      <c r="A38" s="56"/>
      <c r="B38" s="54" t="str">
        <f>+B2</f>
        <v>NIT 890.378.233 - 1</v>
      </c>
      <c r="C38" s="56"/>
      <c r="D38" s="56"/>
      <c r="E38" s="56"/>
      <c r="F38" s="56"/>
      <c r="G38" s="56"/>
      <c r="H38" s="59"/>
      <c r="I38" s="59"/>
    </row>
    <row r="39" spans="1:9" ht="12" customHeight="1" x14ac:dyDescent="0.2">
      <c r="A39" s="56"/>
      <c r="B39" s="54" t="str">
        <f>+B3</f>
        <v>DECLARACION DE RENTA AÑO GRAVABLE 2024</v>
      </c>
      <c r="C39" s="56"/>
      <c r="D39" s="56"/>
      <c r="E39" s="56"/>
      <c r="F39" s="56"/>
      <c r="G39" s="59" t="s">
        <v>363</v>
      </c>
      <c r="H39" s="59"/>
      <c r="I39" s="59"/>
    </row>
    <row r="40" spans="1:9" ht="12" customHeight="1" x14ac:dyDescent="0.2">
      <c r="A40" s="56"/>
      <c r="B40" s="54" t="s">
        <v>231</v>
      </c>
      <c r="C40" s="56"/>
      <c r="D40" s="56"/>
      <c r="E40" s="56"/>
      <c r="F40" s="56"/>
      <c r="G40" s="56"/>
      <c r="H40" s="56"/>
      <c r="I40" s="56"/>
    </row>
    <row r="41" spans="1:9" ht="12" customHeight="1" thickBot="1" x14ac:dyDescent="0.25">
      <c r="A41" s="56"/>
      <c r="B41" s="56"/>
      <c r="C41" s="56"/>
      <c r="D41" s="56"/>
      <c r="E41" s="56"/>
      <c r="F41" s="56"/>
      <c r="G41" s="56"/>
      <c r="H41" s="56"/>
      <c r="I41" s="56"/>
    </row>
    <row r="42" spans="1:9" ht="36" x14ac:dyDescent="0.2">
      <c r="A42" s="56"/>
      <c r="B42" s="403" t="s">
        <v>225</v>
      </c>
      <c r="C42" s="404" t="s">
        <v>223</v>
      </c>
      <c r="D42" s="404" t="s">
        <v>224</v>
      </c>
      <c r="E42" s="404" t="s">
        <v>233</v>
      </c>
      <c r="F42" s="404" t="s">
        <v>83</v>
      </c>
      <c r="G42" s="405" t="s">
        <v>232</v>
      </c>
      <c r="H42" s="406" t="s">
        <v>272</v>
      </c>
      <c r="I42" s="407" t="s">
        <v>234</v>
      </c>
    </row>
    <row r="43" spans="1:9" ht="12" customHeight="1" x14ac:dyDescent="0.2">
      <c r="A43" s="56"/>
      <c r="B43" s="408"/>
      <c r="C43" s="295"/>
      <c r="D43" s="295"/>
      <c r="E43" s="232"/>
      <c r="F43" s="295"/>
      <c r="G43" s="390"/>
      <c r="H43" s="409"/>
      <c r="I43" s="390"/>
    </row>
    <row r="44" spans="1:9" ht="12" customHeight="1" x14ac:dyDescent="0.2">
      <c r="A44" s="56"/>
      <c r="B44" s="410" t="s">
        <v>226</v>
      </c>
      <c r="C44" s="295"/>
      <c r="D44" s="295"/>
      <c r="E44" s="232"/>
      <c r="F44" s="295"/>
      <c r="G44" s="390"/>
      <c r="H44" s="409"/>
      <c r="I44" s="390"/>
    </row>
    <row r="45" spans="1:9" ht="12" customHeight="1" x14ac:dyDescent="0.2">
      <c r="A45" s="56"/>
      <c r="B45" s="408" t="s">
        <v>440</v>
      </c>
      <c r="C45" s="411" t="s">
        <v>432</v>
      </c>
      <c r="D45" s="411" t="s">
        <v>433</v>
      </c>
      <c r="E45" s="389">
        <v>750000000</v>
      </c>
      <c r="F45" s="412">
        <v>0.17</v>
      </c>
      <c r="G45" s="390">
        <f>+E45*F45/365*H45</f>
        <v>36678082.19178082</v>
      </c>
      <c r="H45" s="413">
        <f>31+28+31+15</f>
        <v>105</v>
      </c>
      <c r="I45" s="390">
        <f>+E45*H45</f>
        <v>78750000000</v>
      </c>
    </row>
    <row r="46" spans="1:9" ht="12" customHeight="1" x14ac:dyDescent="0.2">
      <c r="A46" s="56"/>
      <c r="B46" s="408"/>
      <c r="C46" s="411" t="s">
        <v>434</v>
      </c>
      <c r="D46" s="411" t="s">
        <v>471</v>
      </c>
      <c r="E46" s="389">
        <v>1824000000</v>
      </c>
      <c r="F46" s="412">
        <v>0.16500000000000001</v>
      </c>
      <c r="G46" s="390">
        <f>+E46*F46/365*H46</f>
        <v>166558684.93150684</v>
      </c>
      <c r="H46" s="413">
        <f>15+31+30+31+31+30+31+3</f>
        <v>202</v>
      </c>
      <c r="I46" s="390">
        <f>+E46*H46</f>
        <v>368448000000</v>
      </c>
    </row>
    <row r="47" spans="1:9" ht="12" customHeight="1" x14ac:dyDescent="0.2">
      <c r="A47" s="56"/>
      <c r="B47" s="408"/>
      <c r="C47" s="411"/>
      <c r="D47" s="411"/>
      <c r="E47" s="389"/>
      <c r="F47" s="412"/>
      <c r="G47" s="390"/>
      <c r="H47" s="413"/>
      <c r="I47" s="390"/>
    </row>
    <row r="48" spans="1:9" ht="12" customHeight="1" x14ac:dyDescent="0.2">
      <c r="A48" s="56"/>
      <c r="B48" s="408" t="s">
        <v>495</v>
      </c>
      <c r="C48" s="411" t="s">
        <v>496</v>
      </c>
      <c r="D48" s="411" t="s">
        <v>497</v>
      </c>
      <c r="E48" s="389">
        <v>1440000000</v>
      </c>
      <c r="F48" s="414">
        <v>0.16500000000000001</v>
      </c>
      <c r="G48" s="390">
        <f>+E48*F48/365*H48</f>
        <v>50123835.616438359</v>
      </c>
      <c r="H48" s="413">
        <v>77</v>
      </c>
      <c r="I48" s="390">
        <v>0</v>
      </c>
    </row>
    <row r="49" spans="1:9" ht="12" customHeight="1" x14ac:dyDescent="0.2">
      <c r="A49" s="56"/>
      <c r="B49" s="408"/>
      <c r="C49" s="411"/>
      <c r="D49" s="411"/>
      <c r="E49" s="389"/>
      <c r="F49" s="414"/>
      <c r="G49" s="390"/>
      <c r="H49" s="413"/>
      <c r="I49" s="390"/>
    </row>
    <row r="50" spans="1:9" ht="12" customHeight="1" x14ac:dyDescent="0.2">
      <c r="A50" s="56"/>
      <c r="B50" s="408" t="s">
        <v>444</v>
      </c>
      <c r="C50" s="411" t="s">
        <v>439</v>
      </c>
      <c r="D50" s="411" t="s">
        <v>445</v>
      </c>
      <c r="E50" s="389">
        <v>418000000</v>
      </c>
      <c r="F50" s="412">
        <v>0.18</v>
      </c>
      <c r="G50" s="390">
        <f>+E50*F50/365*H50</f>
        <v>25973260.273972601</v>
      </c>
      <c r="H50" s="413">
        <v>126</v>
      </c>
      <c r="I50" s="390">
        <v>0</v>
      </c>
    </row>
    <row r="51" spans="1:9" ht="12" customHeight="1" x14ac:dyDescent="0.2">
      <c r="A51" s="56"/>
      <c r="B51" s="408"/>
      <c r="C51" s="295"/>
      <c r="D51" s="295"/>
      <c r="E51" s="389"/>
      <c r="F51" s="412"/>
      <c r="G51" s="390"/>
      <c r="H51" s="413"/>
      <c r="I51" s="390"/>
    </row>
    <row r="52" spans="1:9" ht="12" customHeight="1" x14ac:dyDescent="0.2">
      <c r="A52" s="56"/>
      <c r="B52" s="410" t="s">
        <v>247</v>
      </c>
      <c r="C52" s="295"/>
      <c r="D52" s="295"/>
      <c r="E52" s="389"/>
      <c r="F52" s="412"/>
      <c r="G52" s="390"/>
      <c r="H52" s="413"/>
      <c r="I52" s="390"/>
    </row>
    <row r="53" spans="1:9" ht="12" customHeight="1" x14ac:dyDescent="0.2">
      <c r="A53" s="56"/>
      <c r="B53" s="408" t="s">
        <v>441</v>
      </c>
      <c r="C53" s="411" t="s">
        <v>435</v>
      </c>
      <c r="D53" s="411" t="s">
        <v>436</v>
      </c>
      <c r="E53" s="389">
        <v>1380000000</v>
      </c>
      <c r="F53" s="412">
        <v>0.1</v>
      </c>
      <c r="G53" s="390">
        <f>+E53*F53/365*H53</f>
        <v>50663013.698630139</v>
      </c>
      <c r="H53" s="413">
        <f>23+30+31+30+20</f>
        <v>134</v>
      </c>
      <c r="I53" s="390">
        <f>+E53*H53</f>
        <v>184920000000</v>
      </c>
    </row>
    <row r="54" spans="1:9" ht="12" customHeight="1" x14ac:dyDescent="0.2">
      <c r="A54" s="56"/>
      <c r="B54" s="408"/>
      <c r="C54" s="411" t="s">
        <v>438</v>
      </c>
      <c r="D54" s="411" t="s">
        <v>437</v>
      </c>
      <c r="E54" s="389">
        <v>970000000</v>
      </c>
      <c r="F54" s="412">
        <f>+F53</f>
        <v>0.1</v>
      </c>
      <c r="G54" s="398">
        <f>+E54*F54/365*H54</f>
        <v>2923287.6712328764</v>
      </c>
      <c r="H54" s="413">
        <v>11</v>
      </c>
      <c r="I54" s="398">
        <f>+E54*H54</f>
        <v>10670000000</v>
      </c>
    </row>
    <row r="55" spans="1:9" ht="12" customHeight="1" x14ac:dyDescent="0.2">
      <c r="A55" s="56"/>
      <c r="B55" s="408"/>
      <c r="C55" s="415"/>
      <c r="D55" s="415"/>
      <c r="E55" s="389"/>
      <c r="F55" s="412"/>
      <c r="G55" s="390"/>
      <c r="H55" s="413"/>
      <c r="I55" s="390"/>
    </row>
    <row r="56" spans="1:9" ht="12" customHeight="1" thickBot="1" x14ac:dyDescent="0.25">
      <c r="A56" s="56"/>
      <c r="B56" s="408" t="s">
        <v>84</v>
      </c>
      <c r="C56" s="415"/>
      <c r="D56" s="415"/>
      <c r="E56" s="389"/>
      <c r="F56" s="412"/>
      <c r="G56" s="416">
        <f>SUM(G45:G55)</f>
        <v>332920164.38356167</v>
      </c>
      <c r="H56" s="413"/>
      <c r="I56" s="398">
        <f>SUM(I45:I55)</f>
        <v>642788000000</v>
      </c>
    </row>
    <row r="57" spans="1:9" ht="12" customHeight="1" thickTop="1" x14ac:dyDescent="0.2">
      <c r="A57" s="56"/>
      <c r="B57" s="408"/>
      <c r="C57" s="415"/>
      <c r="D57" s="415"/>
      <c r="E57" s="389"/>
      <c r="F57" s="412"/>
      <c r="G57" s="390"/>
      <c r="H57" s="413"/>
      <c r="I57" s="390"/>
    </row>
    <row r="58" spans="1:9" ht="12" customHeight="1" thickBot="1" x14ac:dyDescent="0.25">
      <c r="A58" s="56"/>
      <c r="B58" s="417" t="s">
        <v>238</v>
      </c>
      <c r="C58" s="418"/>
      <c r="D58" s="418"/>
      <c r="E58" s="419"/>
      <c r="F58" s="420"/>
      <c r="G58" s="398"/>
      <c r="H58" s="421"/>
      <c r="I58" s="416">
        <f>+I56/365</f>
        <v>1761063013.6986301</v>
      </c>
    </row>
    <row r="59" spans="1:9" ht="12" customHeight="1" thickTop="1" x14ac:dyDescent="0.2">
      <c r="A59" s="56"/>
      <c r="B59" s="325"/>
      <c r="C59" s="422"/>
      <c r="D59" s="422"/>
      <c r="E59" s="79"/>
      <c r="F59" s="423"/>
      <c r="G59" s="79"/>
      <c r="H59" s="424"/>
      <c r="I59" s="399"/>
    </row>
    <row r="60" spans="1:9" ht="12" customHeight="1" x14ac:dyDescent="0.2">
      <c r="A60" s="56"/>
      <c r="B60" s="325" t="s">
        <v>442</v>
      </c>
      <c r="C60" s="422"/>
      <c r="D60" s="422"/>
      <c r="E60" s="79"/>
      <c r="F60" s="423"/>
      <c r="G60" s="79"/>
      <c r="H60" s="424"/>
      <c r="I60" s="399"/>
    </row>
    <row r="61" spans="1:9" ht="12" customHeight="1" x14ac:dyDescent="0.2">
      <c r="A61" s="56"/>
      <c r="B61" s="325" t="s">
        <v>443</v>
      </c>
      <c r="C61" s="422"/>
      <c r="D61" s="422"/>
      <c r="E61" s="79"/>
      <c r="F61" s="423"/>
      <c r="G61" s="79"/>
      <c r="H61" s="424"/>
      <c r="I61" s="399"/>
    </row>
    <row r="62" spans="1:9" ht="12" customHeight="1" thickBot="1" x14ac:dyDescent="0.25">
      <c r="A62" s="56"/>
      <c r="B62" s="333"/>
      <c r="C62" s="425"/>
      <c r="D62" s="425"/>
      <c r="E62" s="426"/>
      <c r="F62" s="427"/>
      <c r="G62" s="426"/>
      <c r="H62" s="428"/>
      <c r="I62" s="429"/>
    </row>
    <row r="63" spans="1:9" ht="12" customHeight="1" thickBot="1" x14ac:dyDescent="0.25">
      <c r="A63" s="56"/>
      <c r="B63" s="56"/>
      <c r="C63" s="56"/>
      <c r="D63" s="56"/>
      <c r="E63" s="56"/>
      <c r="F63" s="56"/>
      <c r="G63" s="56"/>
      <c r="H63" s="56"/>
      <c r="I63" s="56"/>
    </row>
    <row r="64" spans="1:9" ht="12" customHeight="1" x14ac:dyDescent="0.2">
      <c r="A64" s="56"/>
      <c r="B64" s="430"/>
      <c r="C64" s="431"/>
      <c r="D64" s="432"/>
      <c r="E64" s="433"/>
      <c r="F64" s="56"/>
      <c r="G64" s="56"/>
      <c r="H64" s="56"/>
      <c r="I64" s="56"/>
    </row>
    <row r="65" spans="1:9" ht="12" customHeight="1" x14ac:dyDescent="0.2">
      <c r="A65" s="56"/>
      <c r="B65" s="325" t="s">
        <v>238</v>
      </c>
      <c r="C65" s="269"/>
      <c r="D65" s="434" t="s">
        <v>239</v>
      </c>
      <c r="E65" s="390">
        <f>+I58</f>
        <v>1761063013.6986301</v>
      </c>
      <c r="F65" s="435"/>
      <c r="G65" s="56"/>
      <c r="H65" s="56"/>
      <c r="I65" s="56"/>
    </row>
    <row r="66" spans="1:9" ht="12" customHeight="1" x14ac:dyDescent="0.2">
      <c r="A66" s="56"/>
      <c r="B66" s="325"/>
      <c r="C66" s="269"/>
      <c r="D66" s="434"/>
      <c r="E66" s="390"/>
      <c r="F66" s="435"/>
      <c r="G66" s="56"/>
      <c r="H66" s="56"/>
      <c r="I66" s="56"/>
    </row>
    <row r="67" spans="1:9" ht="12" customHeight="1" x14ac:dyDescent="0.2">
      <c r="A67" s="56"/>
      <c r="B67" s="325" t="s">
        <v>237</v>
      </c>
      <c r="C67" s="269"/>
      <c r="D67" s="70"/>
      <c r="E67" s="390">
        <v>825873000</v>
      </c>
      <c r="F67" s="435"/>
      <c r="G67" s="56"/>
      <c r="H67" s="56"/>
      <c r="I67" s="56"/>
    </row>
    <row r="68" spans="1:9" ht="12" customHeight="1" x14ac:dyDescent="0.2">
      <c r="A68" s="56"/>
      <c r="B68" s="325" t="s">
        <v>235</v>
      </c>
      <c r="C68" s="269"/>
      <c r="D68" s="434" t="s">
        <v>240</v>
      </c>
      <c r="E68" s="390">
        <f>+E67*2</f>
        <v>1651746000</v>
      </c>
      <c r="F68" s="435"/>
      <c r="G68" s="56"/>
      <c r="H68" s="56"/>
      <c r="I68" s="56"/>
    </row>
    <row r="69" spans="1:9" ht="12" customHeight="1" x14ac:dyDescent="0.2">
      <c r="A69" s="56"/>
      <c r="B69" s="325"/>
      <c r="C69" s="269"/>
      <c r="D69" s="434"/>
      <c r="E69" s="390"/>
      <c r="F69" s="435"/>
      <c r="G69" s="56"/>
      <c r="H69" s="56"/>
      <c r="I69" s="56"/>
    </row>
    <row r="70" spans="1:9" ht="12" customHeight="1" x14ac:dyDescent="0.2">
      <c r="A70" s="56"/>
      <c r="B70" s="325" t="s">
        <v>236</v>
      </c>
      <c r="C70" s="269"/>
      <c r="D70" s="434" t="s">
        <v>263</v>
      </c>
      <c r="E70" s="390">
        <f>+E65-E68</f>
        <v>109317013.69863009</v>
      </c>
      <c r="F70" s="435"/>
      <c r="G70" s="56"/>
      <c r="H70" s="56"/>
      <c r="I70" s="56"/>
    </row>
    <row r="71" spans="1:9" ht="12" customHeight="1" x14ac:dyDescent="0.2">
      <c r="A71" s="56"/>
      <c r="B71" s="325"/>
      <c r="C71" s="269"/>
      <c r="D71" s="70"/>
      <c r="E71" s="390"/>
      <c r="F71" s="435"/>
      <c r="G71" s="56"/>
      <c r="H71" s="56"/>
      <c r="I71" s="56"/>
    </row>
    <row r="72" spans="1:9" ht="12" customHeight="1" x14ac:dyDescent="0.2">
      <c r="A72" s="56"/>
      <c r="B72" s="325" t="s">
        <v>242</v>
      </c>
      <c r="C72" s="269"/>
      <c r="D72" s="70"/>
      <c r="E72" s="436">
        <f>+E68/E65</f>
        <v>0.93792555243719544</v>
      </c>
      <c r="F72" s="435"/>
      <c r="G72" s="56"/>
      <c r="H72" s="56"/>
      <c r="I72" s="56"/>
    </row>
    <row r="73" spans="1:9" ht="12" customHeight="1" x14ac:dyDescent="0.2">
      <c r="A73" s="56"/>
      <c r="B73" s="325" t="s">
        <v>241</v>
      </c>
      <c r="C73" s="269"/>
      <c r="D73" s="295"/>
      <c r="E73" s="436">
        <f>+E70/E65</f>
        <v>6.2074447562804509E-2</v>
      </c>
      <c r="F73" s="435"/>
      <c r="G73" s="56"/>
      <c r="H73" s="56"/>
      <c r="I73" s="56"/>
    </row>
    <row r="74" spans="1:9" ht="12" customHeight="1" x14ac:dyDescent="0.2">
      <c r="A74" s="56"/>
      <c r="B74" s="325"/>
      <c r="C74" s="269"/>
      <c r="D74" s="295"/>
      <c r="E74" s="390"/>
      <c r="F74" s="435"/>
      <c r="G74" s="56"/>
      <c r="H74" s="56"/>
      <c r="I74" s="56"/>
    </row>
    <row r="75" spans="1:9" ht="12" customHeight="1" x14ac:dyDescent="0.2">
      <c r="A75" s="56"/>
      <c r="B75" s="325" t="s">
        <v>532</v>
      </c>
      <c r="C75" s="269"/>
      <c r="D75" s="295"/>
      <c r="E75" s="390">
        <f>+G56-G50-G48</f>
        <v>256823068.49315074</v>
      </c>
      <c r="F75" s="435"/>
      <c r="G75" s="56"/>
      <c r="H75" s="56"/>
      <c r="I75" s="56"/>
    </row>
    <row r="76" spans="1:9" ht="12" customHeight="1" x14ac:dyDescent="0.2">
      <c r="A76" s="56"/>
      <c r="B76" s="325"/>
      <c r="C76" s="269"/>
      <c r="D76" s="295"/>
      <c r="E76" s="390"/>
      <c r="F76" s="435"/>
      <c r="G76" s="56"/>
      <c r="H76" s="56"/>
      <c r="I76" s="56"/>
    </row>
    <row r="77" spans="1:9" ht="12" customHeight="1" thickBot="1" x14ac:dyDescent="0.25">
      <c r="A77" s="56"/>
      <c r="B77" s="327" t="s">
        <v>287</v>
      </c>
      <c r="C77" s="297"/>
      <c r="D77" s="70"/>
      <c r="E77" s="437">
        <f>+E75*E73</f>
        <v>15942150.098096637</v>
      </c>
      <c r="F77" s="435"/>
      <c r="G77" s="56"/>
      <c r="H77" s="56"/>
      <c r="I77" s="56"/>
    </row>
    <row r="78" spans="1:9" ht="12" customHeight="1" thickTop="1" x14ac:dyDescent="0.2">
      <c r="A78" s="56"/>
      <c r="B78" s="327"/>
      <c r="C78" s="297"/>
      <c r="D78" s="70"/>
      <c r="E78" s="438"/>
      <c r="F78" s="435"/>
      <c r="G78" s="56"/>
      <c r="H78" s="56"/>
      <c r="I78" s="56"/>
    </row>
    <row r="79" spans="1:9" ht="12" customHeight="1" thickBot="1" x14ac:dyDescent="0.25">
      <c r="A79" s="56"/>
      <c r="B79" s="327" t="s">
        <v>559</v>
      </c>
      <c r="C79" s="297"/>
      <c r="D79" s="70"/>
      <c r="E79" s="396">
        <f>+G56-E77</f>
        <v>316978014.28546506</v>
      </c>
      <c r="F79" s="435"/>
      <c r="G79" s="56"/>
      <c r="H79" s="56"/>
      <c r="I79" s="56"/>
    </row>
    <row r="80" spans="1:9" ht="12" customHeight="1" thickTop="1" thickBot="1" x14ac:dyDescent="0.25">
      <c r="A80" s="56"/>
      <c r="B80" s="333"/>
      <c r="C80" s="439"/>
      <c r="D80" s="335"/>
      <c r="E80" s="440"/>
      <c r="F80" s="435"/>
      <c r="G80" s="56"/>
      <c r="H80" s="56"/>
      <c r="I80" s="56"/>
    </row>
    <row r="81" spans="1:9" ht="12" customHeight="1" x14ac:dyDescent="0.2">
      <c r="A81" s="56"/>
      <c r="B81" s="56"/>
      <c r="C81" s="56"/>
      <c r="D81" s="56"/>
      <c r="E81" s="56"/>
      <c r="F81" s="56"/>
      <c r="G81" s="56"/>
      <c r="H81" s="56"/>
      <c r="I81" s="56"/>
    </row>
    <row r="82" spans="1:9" ht="12" customHeight="1" x14ac:dyDescent="0.2">
      <c r="E82" s="3"/>
    </row>
  </sheetData>
  <sheetProtection algorithmName="SHA-512" hashValue="090Xid/5TDVB1ch8gi44H4W/zq0bmSRMpk3WzTj9g4iFwhiTqno7MTJPUgAQDM3o0j50D+WVLzACvnut7PGbKQ==" saltValue="PPGTB1OOHu98sAIAgonmaA==" spinCount="100000" sheet="1" objects="1" scenarios="1"/>
  <printOptions horizontalCentered="1" verticalCentered="1"/>
  <pageMargins left="0.59055118110236227" right="0.59055118110236227" top="0.59055118110236227" bottom="0.39370078740157483" header="0.51181102362204722" footer="0.51181102362204722"/>
  <pageSetup scale="75" orientation="portrait" horizontalDpi="360" verticalDpi="360" r:id="rId1"/>
  <headerFooter alignWithMargins="0">
    <oddHeader xml:space="preserve">&amp;C </oddHeader>
  </headerFooter>
  <ignoredErrors>
    <ignoredError sqref="B1:I2 B24:E24 G24:I24 G13:I13 B34:I38 B10:I12 B9:D9 F9 H9:I9 B20:D20 C29:I32 H20:I20 B25:I27 B80:I81 G48 B51:I52 B67:D74 F67:I77 H14:I19 B13:E14 E23 B64:I66 B55:I63 B53:D53 G53:I53 B47:I47 B46:D46 G46:I46 B54:D54 F54:I54 B45:D45 G45:I45 B50:D50 G50:I50 B16:E19 B15:D15 E21 E75 B76:D77 C75:D75 G23 E79 B4:I8 B3:F3 H3:I3 B40:I44 B39:F39 H39:I39" unlockedFormula="1"/>
    <ignoredError sqref="F24 F16:F19 F14" numberStoredAsText="1" unlockedFormula="1"/>
    <ignoredError sqref="F20:F21 F13 F15" numberStoredAsText="1"/>
    <ignoredError sqref="E68:E74 E76:E77" evalError="1" unlockedFormula="1"/>
    <ignoredError sqref="E78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5">
    <pageSetUpPr fitToPage="1"/>
  </sheetPr>
  <dimension ref="A1:K163"/>
  <sheetViews>
    <sheetView zoomScaleNormal="100" workbookViewId="0">
      <selection activeCell="F3" sqref="F3"/>
    </sheetView>
  </sheetViews>
  <sheetFormatPr baseColWidth="10" defaultRowHeight="12.75" x14ac:dyDescent="0.2"/>
  <cols>
    <col min="1" max="1" width="1.7109375" style="31" customWidth="1"/>
    <col min="2" max="2" width="37.85546875" style="31" customWidth="1"/>
    <col min="3" max="3" width="11.7109375" style="31" customWidth="1"/>
    <col min="4" max="4" width="3.7109375" style="27" customWidth="1"/>
    <col min="5" max="7" width="12.7109375" style="31" customWidth="1"/>
    <col min="8" max="8" width="11.7109375" style="31" customWidth="1"/>
    <col min="9" max="9" width="10.7109375" style="31" customWidth="1"/>
    <col min="10" max="16384" width="11.42578125" style="31"/>
  </cols>
  <sheetData>
    <row r="1" spans="1:8" x14ac:dyDescent="0.2">
      <c r="A1"/>
      <c r="B1" s="54" t="str">
        <f>+'13. LABORALES - INTS'!B1</f>
        <v>EL EXPERTO S.A.S.</v>
      </c>
      <c r="C1" s="56"/>
      <c r="D1" s="56"/>
      <c r="E1" s="56"/>
      <c r="F1" s="56"/>
      <c r="G1"/>
      <c r="H1"/>
    </row>
    <row r="2" spans="1:8" x14ac:dyDescent="0.2">
      <c r="A2"/>
      <c r="B2" s="54" t="str">
        <f>+'13. LABORALES - INTS'!B2</f>
        <v>NIT 890.378.233 - 1</v>
      </c>
      <c r="C2" s="56"/>
      <c r="D2" s="56"/>
      <c r="E2" s="56"/>
      <c r="F2" s="56"/>
      <c r="G2"/>
      <c r="H2"/>
    </row>
    <row r="3" spans="1:8" x14ac:dyDescent="0.2">
      <c r="A3"/>
      <c r="B3" s="54" t="str">
        <f>+'13. LABORALES - INTS'!B3</f>
        <v>DECLARACION DE RENTA AÑO GRAVABLE 2024</v>
      </c>
      <c r="C3" s="56"/>
      <c r="D3" s="56"/>
      <c r="E3"/>
      <c r="F3" s="59" t="s">
        <v>95</v>
      </c>
      <c r="G3"/>
      <c r="H3"/>
    </row>
    <row r="4" spans="1:8" x14ac:dyDescent="0.2">
      <c r="A4"/>
      <c r="B4" s="54" t="s">
        <v>425</v>
      </c>
      <c r="C4" s="56"/>
      <c r="D4" s="56"/>
      <c r="E4" s="56"/>
      <c r="F4" s="56"/>
      <c r="G4"/>
      <c r="H4"/>
    </row>
    <row r="5" spans="1:8" ht="13.5" thickBot="1" x14ac:dyDescent="0.25">
      <c r="A5"/>
      <c r="B5" s="56"/>
      <c r="C5" s="56"/>
      <c r="D5" s="56"/>
      <c r="E5" s="56"/>
      <c r="F5" s="57"/>
      <c r="G5" s="56"/>
      <c r="H5"/>
    </row>
    <row r="6" spans="1:8" x14ac:dyDescent="0.2">
      <c r="A6"/>
      <c r="B6" s="441"/>
      <c r="C6" s="442" t="s">
        <v>422</v>
      </c>
      <c r="D6" s="442"/>
      <c r="E6" s="316" t="s">
        <v>424</v>
      </c>
      <c r="F6" s="443" t="s">
        <v>131</v>
      </c>
      <c r="G6" s="444"/>
      <c r="H6"/>
    </row>
    <row r="7" spans="1:8" x14ac:dyDescent="0.2">
      <c r="A7"/>
      <c r="B7" s="320" t="s">
        <v>136</v>
      </c>
      <c r="C7" s="445" t="s">
        <v>423</v>
      </c>
      <c r="D7" s="445"/>
      <c r="E7" s="254" t="s">
        <v>423</v>
      </c>
      <c r="F7" s="446" t="s">
        <v>133</v>
      </c>
      <c r="G7" s="447" t="s">
        <v>133</v>
      </c>
      <c r="H7"/>
    </row>
    <row r="8" spans="1:8" x14ac:dyDescent="0.2">
      <c r="A8"/>
      <c r="B8" s="448"/>
      <c r="C8" s="237"/>
      <c r="D8" s="237"/>
      <c r="E8" s="237"/>
      <c r="F8" s="296"/>
      <c r="G8" s="388"/>
      <c r="H8"/>
    </row>
    <row r="9" spans="1:8" x14ac:dyDescent="0.2">
      <c r="A9"/>
      <c r="B9" s="408" t="s">
        <v>426</v>
      </c>
      <c r="C9" s="237">
        <v>30960000</v>
      </c>
      <c r="D9" s="237"/>
      <c r="E9" s="237">
        <v>126140000</v>
      </c>
      <c r="F9" s="237">
        <f>+C9</f>
        <v>30960000</v>
      </c>
      <c r="G9" s="326"/>
      <c r="H9"/>
    </row>
    <row r="10" spans="1:8" x14ac:dyDescent="0.2">
      <c r="A10"/>
      <c r="B10" s="408" t="s">
        <v>29</v>
      </c>
      <c r="C10" s="237">
        <v>5120000</v>
      </c>
      <c r="D10" s="237"/>
      <c r="E10" s="237">
        <v>0</v>
      </c>
      <c r="F10" s="237">
        <f>+C10</f>
        <v>5120000</v>
      </c>
      <c r="G10" s="449"/>
      <c r="H10"/>
    </row>
    <row r="11" spans="1:8" x14ac:dyDescent="0.2">
      <c r="A11"/>
      <c r="B11" s="408" t="s">
        <v>33</v>
      </c>
      <c r="C11" s="237">
        <v>0</v>
      </c>
      <c r="D11" s="237"/>
      <c r="E11" s="237">
        <v>9327000</v>
      </c>
      <c r="F11" s="237">
        <f>+C11</f>
        <v>0</v>
      </c>
      <c r="G11" s="326"/>
      <c r="H11"/>
    </row>
    <row r="12" spans="1:8" x14ac:dyDescent="0.2">
      <c r="A12"/>
      <c r="B12" s="408" t="s">
        <v>34</v>
      </c>
      <c r="C12" s="237">
        <v>17029000</v>
      </c>
      <c r="D12" s="237"/>
      <c r="E12" s="237">
        <v>15488000</v>
      </c>
      <c r="F12" s="237">
        <f>+C12</f>
        <v>17029000</v>
      </c>
      <c r="G12" s="449"/>
      <c r="H12"/>
    </row>
    <row r="13" spans="1:8" x14ac:dyDescent="0.2">
      <c r="A13"/>
      <c r="B13" s="408" t="s">
        <v>421</v>
      </c>
      <c r="C13" s="237">
        <v>0</v>
      </c>
      <c r="D13" s="237"/>
      <c r="E13" s="237">
        <v>23180000</v>
      </c>
      <c r="F13" s="237">
        <f>+C13</f>
        <v>0</v>
      </c>
      <c r="G13" s="326"/>
      <c r="H13"/>
    </row>
    <row r="14" spans="1:8" x14ac:dyDescent="0.2">
      <c r="A14"/>
      <c r="B14" s="408"/>
      <c r="C14" s="237"/>
      <c r="D14" s="237"/>
      <c r="E14" s="237"/>
      <c r="F14" s="232"/>
      <c r="G14" s="326"/>
      <c r="H14"/>
    </row>
    <row r="15" spans="1:8" ht="13.5" thickBot="1" x14ac:dyDescent="0.25">
      <c r="A15"/>
      <c r="B15" s="450" t="s">
        <v>427</v>
      </c>
      <c r="C15" s="451">
        <f>SUM(C9:C14)</f>
        <v>53109000</v>
      </c>
      <c r="D15" s="451"/>
      <c r="E15" s="451">
        <f>SUM(E9:E14)</f>
        <v>174135000</v>
      </c>
      <c r="F15" s="232"/>
      <c r="G15" s="449">
        <f>+E15</f>
        <v>174135000</v>
      </c>
      <c r="H15"/>
    </row>
    <row r="16" spans="1:8" ht="13.5" thickTop="1" x14ac:dyDescent="0.2">
      <c r="A16"/>
      <c r="B16" s="408"/>
      <c r="C16" s="237"/>
      <c r="D16" s="237"/>
      <c r="E16" s="237"/>
      <c r="F16" s="295"/>
      <c r="G16" s="326"/>
      <c r="H16"/>
    </row>
    <row r="17" spans="1:8" x14ac:dyDescent="0.2">
      <c r="A17"/>
      <c r="B17" s="408" t="s">
        <v>430</v>
      </c>
      <c r="C17" s="237"/>
      <c r="D17" s="237"/>
      <c r="E17" s="237">
        <f>+('2. RENTA FISCAL'!B62+'2. RENTA FISCAL'!B107)*86%</f>
        <v>1201194852</v>
      </c>
      <c r="F17" s="295"/>
      <c r="G17" s="326"/>
      <c r="H17"/>
    </row>
    <row r="18" spans="1:8" x14ac:dyDescent="0.2">
      <c r="A18"/>
      <c r="B18" s="452" t="s">
        <v>484</v>
      </c>
      <c r="C18" s="237"/>
      <c r="D18" s="237"/>
      <c r="E18" s="453">
        <f>+E17*40%</f>
        <v>480477940.80000001</v>
      </c>
      <c r="F18" s="295"/>
      <c r="G18" s="326"/>
      <c r="H18"/>
    </row>
    <row r="19" spans="1:8" x14ac:dyDescent="0.2">
      <c r="A19"/>
      <c r="B19" s="408"/>
      <c r="C19" s="237"/>
      <c r="D19" s="237"/>
      <c r="E19" s="237"/>
      <c r="F19" s="295"/>
      <c r="G19" s="326"/>
      <c r="H19"/>
    </row>
    <row r="20" spans="1:8" x14ac:dyDescent="0.2">
      <c r="A20"/>
      <c r="B20" s="408" t="s">
        <v>483</v>
      </c>
      <c r="C20" s="237"/>
      <c r="D20" s="237"/>
      <c r="E20" s="237">
        <f>+'2. RENTA FISCAL'!B62+'2. RENTA FISCAL'!B84+'2. RENTA FISCAL'!B91+'2. RENTA FISCAL'!B98</f>
        <v>3646119907.3835616</v>
      </c>
      <c r="F20" s="295"/>
      <c r="G20" s="326"/>
      <c r="H20"/>
    </row>
    <row r="21" spans="1:8" x14ac:dyDescent="0.2">
      <c r="A21"/>
      <c r="B21" s="454" t="s">
        <v>503</v>
      </c>
      <c r="C21" s="455"/>
      <c r="D21" s="455"/>
      <c r="E21" s="453">
        <f>+E20*35%</f>
        <v>1276141967.5842464</v>
      </c>
      <c r="F21" s="295"/>
      <c r="G21" s="326"/>
      <c r="H21"/>
    </row>
    <row r="22" spans="1:8" x14ac:dyDescent="0.2">
      <c r="A22"/>
      <c r="B22" s="456"/>
      <c r="C22" s="455"/>
      <c r="D22" s="455"/>
      <c r="E22" s="237"/>
      <c r="F22" s="295"/>
      <c r="G22" s="326"/>
      <c r="H22"/>
    </row>
    <row r="23" spans="1:8" x14ac:dyDescent="0.2">
      <c r="A23"/>
      <c r="B23" s="456" t="s">
        <v>504</v>
      </c>
      <c r="C23" s="455"/>
      <c r="D23" s="455"/>
      <c r="E23" s="453">
        <f>40000*ANEXOS!C45</f>
        <v>1882600000</v>
      </c>
      <c r="F23" s="309"/>
      <c r="G23" s="457"/>
      <c r="H23"/>
    </row>
    <row r="24" spans="1:8" x14ac:dyDescent="0.2">
      <c r="A24"/>
      <c r="B24" s="408"/>
      <c r="C24" s="229"/>
      <c r="D24" s="229"/>
      <c r="E24" s="458"/>
      <c r="F24" s="237"/>
      <c r="G24" s="449"/>
      <c r="H24"/>
    </row>
    <row r="25" spans="1:8" ht="13.5" thickBot="1" x14ac:dyDescent="0.25">
      <c r="A25"/>
      <c r="B25" s="450" t="s">
        <v>429</v>
      </c>
      <c r="C25" s="459"/>
      <c r="D25" s="459"/>
      <c r="E25" s="460"/>
      <c r="F25" s="461">
        <f>SUM(F9:F24)</f>
        <v>53109000</v>
      </c>
      <c r="G25" s="462">
        <f>SUM(G9:G24)</f>
        <v>174135000</v>
      </c>
      <c r="H25"/>
    </row>
    <row r="26" spans="1:8" ht="14.25" thickTop="1" thickBot="1" x14ac:dyDescent="0.25">
      <c r="A26"/>
      <c r="B26" s="463"/>
      <c r="C26" s="464"/>
      <c r="D26" s="464"/>
      <c r="E26" s="465"/>
      <c r="F26" s="465"/>
      <c r="G26" s="466"/>
      <c r="H26"/>
    </row>
    <row r="27" spans="1:8" x14ac:dyDescent="0.2">
      <c r="A27"/>
      <c r="B27" s="325"/>
      <c r="C27" s="78"/>
      <c r="D27" s="78"/>
      <c r="E27" s="78"/>
      <c r="F27" s="78"/>
      <c r="G27" s="467"/>
      <c r="H27"/>
    </row>
    <row r="28" spans="1:8" x14ac:dyDescent="0.2">
      <c r="A28"/>
      <c r="B28" s="325" t="s">
        <v>534</v>
      </c>
      <c r="C28" s="78"/>
      <c r="D28" s="78"/>
      <c r="E28" s="78"/>
      <c r="F28" s="78"/>
      <c r="G28" s="467"/>
      <c r="H28"/>
    </row>
    <row r="29" spans="1:8" x14ac:dyDescent="0.2">
      <c r="A29"/>
      <c r="B29" s="325" t="s">
        <v>560</v>
      </c>
      <c r="C29" s="78"/>
      <c r="D29" s="78"/>
      <c r="E29" s="78"/>
      <c r="F29" s="78"/>
      <c r="G29" s="467"/>
      <c r="H29"/>
    </row>
    <row r="30" spans="1:8" x14ac:dyDescent="0.2">
      <c r="A30"/>
      <c r="B30" s="325" t="s">
        <v>561</v>
      </c>
      <c r="C30" s="78"/>
      <c r="D30" s="78"/>
      <c r="E30" s="78"/>
      <c r="F30" s="78"/>
      <c r="G30" s="467"/>
      <c r="H30"/>
    </row>
    <row r="31" spans="1:8" ht="13.5" thickBot="1" x14ac:dyDescent="0.25">
      <c r="A31"/>
      <c r="B31" s="333"/>
      <c r="C31" s="468"/>
      <c r="D31" s="468"/>
      <c r="E31" s="468"/>
      <c r="F31" s="468"/>
      <c r="G31" s="469"/>
      <c r="H31"/>
    </row>
    <row r="32" spans="1:8" x14ac:dyDescent="0.2">
      <c r="A32"/>
      <c r="B32"/>
      <c r="C32"/>
      <c r="D32"/>
      <c r="E32" s="37"/>
      <c r="F32"/>
      <c r="G32"/>
      <c r="H32"/>
    </row>
    <row r="33" spans="1:11" x14ac:dyDescent="0.2">
      <c r="A33"/>
      <c r="B33"/>
      <c r="C33"/>
      <c r="D33" s="37"/>
      <c r="E33"/>
      <c r="F33"/>
      <c r="G33"/>
      <c r="H33"/>
    </row>
    <row r="34" spans="1:11" x14ac:dyDescent="0.2">
      <c r="A34"/>
      <c r="B34"/>
      <c r="C34"/>
      <c r="D34" s="37"/>
      <c r="E34"/>
      <c r="F34"/>
      <c r="G34"/>
      <c r="H34"/>
    </row>
    <row r="35" spans="1:11" x14ac:dyDescent="0.2">
      <c r="A35" s="56"/>
      <c r="B35" s="54" t="str">
        <f>+'13. LABORALES - INTS'!B1</f>
        <v>EL EXPERTO S.A.S.</v>
      </c>
      <c r="C35" s="56"/>
      <c r="D35" s="57"/>
      <c r="E35" s="56"/>
      <c r="F35" s="56"/>
      <c r="G35" s="56"/>
      <c r="H35" s="56"/>
      <c r="I35" s="5"/>
      <c r="J35" s="5"/>
      <c r="K35" s="5"/>
    </row>
    <row r="36" spans="1:11" x14ac:dyDescent="0.2">
      <c r="A36" s="56"/>
      <c r="B36" s="54" t="str">
        <f>+'13. LABORALES - INTS'!B2</f>
        <v>NIT 890.378.233 - 1</v>
      </c>
      <c r="C36" s="56"/>
      <c r="D36" s="57"/>
      <c r="E36" s="56"/>
      <c r="F36" s="56"/>
      <c r="G36" s="56"/>
      <c r="H36" s="56"/>
      <c r="I36" s="5"/>
      <c r="J36" s="5"/>
      <c r="K36" s="5"/>
    </row>
    <row r="37" spans="1:11" x14ac:dyDescent="0.2">
      <c r="A37" s="56"/>
      <c r="B37" s="54" t="str">
        <f>+'13. LABORALES - INTS'!B3</f>
        <v>DECLARACION DE RENTA AÑO GRAVABLE 2024</v>
      </c>
      <c r="C37" s="56"/>
      <c r="D37" s="57"/>
      <c r="E37" s="56"/>
      <c r="F37" s="56"/>
      <c r="G37" s="59" t="s">
        <v>93</v>
      </c>
      <c r="H37" s="56"/>
      <c r="I37" s="5"/>
      <c r="J37" s="5"/>
      <c r="K37" s="5"/>
    </row>
    <row r="38" spans="1:11" x14ac:dyDescent="0.2">
      <c r="A38" s="56"/>
      <c r="B38" s="54" t="s">
        <v>120</v>
      </c>
      <c r="C38" s="56"/>
      <c r="D38" s="57"/>
      <c r="E38" s="56"/>
      <c r="F38" s="56"/>
      <c r="G38" s="56"/>
      <c r="H38" s="56"/>
      <c r="I38" s="5"/>
      <c r="J38" s="5"/>
      <c r="K38" s="5"/>
    </row>
    <row r="39" spans="1:11" ht="13.5" thickBot="1" x14ac:dyDescent="0.25">
      <c r="A39" s="56"/>
      <c r="B39" s="56"/>
      <c r="C39" s="56"/>
      <c r="D39" s="57"/>
      <c r="E39" s="56"/>
      <c r="F39" s="56"/>
      <c r="G39" s="56"/>
      <c r="H39" s="56"/>
      <c r="I39" s="5"/>
      <c r="J39" s="5"/>
      <c r="K39" s="5"/>
    </row>
    <row r="40" spans="1:11" x14ac:dyDescent="0.2">
      <c r="A40" s="56"/>
      <c r="B40" s="441"/>
      <c r="C40" s="316" t="s">
        <v>64</v>
      </c>
      <c r="D40" s="470"/>
      <c r="E40" s="443" t="s">
        <v>131</v>
      </c>
      <c r="F40" s="317" t="s">
        <v>132</v>
      </c>
      <c r="G40" s="319" t="s">
        <v>132</v>
      </c>
      <c r="H40" s="319" t="s">
        <v>85</v>
      </c>
      <c r="I40" s="5"/>
      <c r="J40" s="5"/>
      <c r="K40" s="5"/>
    </row>
    <row r="41" spans="1:11" x14ac:dyDescent="0.2">
      <c r="A41" s="56"/>
      <c r="B41" s="320" t="s">
        <v>136</v>
      </c>
      <c r="C41" s="254" t="s">
        <v>137</v>
      </c>
      <c r="D41" s="471"/>
      <c r="E41" s="446" t="s">
        <v>133</v>
      </c>
      <c r="F41" s="293" t="s">
        <v>138</v>
      </c>
      <c r="G41" s="472" t="s">
        <v>134</v>
      </c>
      <c r="H41" s="472" t="s">
        <v>289</v>
      </c>
      <c r="I41" s="5"/>
      <c r="J41" s="5"/>
      <c r="K41" s="5"/>
    </row>
    <row r="42" spans="1:11" x14ac:dyDescent="0.2">
      <c r="A42" s="56"/>
      <c r="B42" s="325"/>
      <c r="C42" s="65"/>
      <c r="D42" s="473"/>
      <c r="E42" s="474"/>
      <c r="F42" s="474"/>
      <c r="G42" s="475"/>
      <c r="H42" s="475"/>
      <c r="I42" s="5"/>
      <c r="J42" s="5"/>
      <c r="K42" s="5"/>
    </row>
    <row r="43" spans="1:11" x14ac:dyDescent="0.2">
      <c r="A43" s="56"/>
      <c r="B43" s="476" t="s">
        <v>288</v>
      </c>
      <c r="C43" s="70"/>
      <c r="D43" s="477"/>
      <c r="E43" s="233"/>
      <c r="F43" s="233"/>
      <c r="G43" s="478"/>
      <c r="H43" s="478"/>
      <c r="I43" s="5"/>
      <c r="J43" s="5"/>
      <c r="K43" s="5"/>
    </row>
    <row r="44" spans="1:11" x14ac:dyDescent="0.2">
      <c r="A44" s="56"/>
      <c r="B44" s="325"/>
      <c r="C44" s="230"/>
      <c r="D44" s="477"/>
      <c r="E44" s="230"/>
      <c r="F44" s="230"/>
      <c r="G44" s="330"/>
      <c r="H44" s="330"/>
      <c r="I44" s="5"/>
      <c r="J44" s="5"/>
      <c r="K44" s="5"/>
    </row>
    <row r="45" spans="1:11" x14ac:dyDescent="0.2">
      <c r="A45" s="56"/>
      <c r="B45" s="325" t="s">
        <v>547</v>
      </c>
      <c r="C45" s="230">
        <v>23170000</v>
      </c>
      <c r="D45" s="477"/>
      <c r="E45" s="230"/>
      <c r="F45" s="230"/>
      <c r="G45" s="330">
        <f>+C45</f>
        <v>23170000</v>
      </c>
      <c r="H45" s="330"/>
      <c r="I45" s="5"/>
      <c r="J45" s="5"/>
      <c r="K45" s="5"/>
    </row>
    <row r="46" spans="1:11" x14ac:dyDescent="0.2">
      <c r="A46" s="56"/>
      <c r="B46" s="325" t="s">
        <v>548</v>
      </c>
      <c r="C46" s="235">
        <v>14780000</v>
      </c>
      <c r="D46" s="477"/>
      <c r="E46" s="235">
        <f>+C46</f>
        <v>14780000</v>
      </c>
      <c r="F46" s="235"/>
      <c r="G46" s="331"/>
      <c r="H46" s="331"/>
      <c r="I46" s="5"/>
      <c r="J46" s="5"/>
      <c r="K46" s="5"/>
    </row>
    <row r="47" spans="1:11" x14ac:dyDescent="0.2">
      <c r="A47" s="56"/>
      <c r="B47" s="325"/>
      <c r="C47" s="230"/>
      <c r="D47" s="477"/>
      <c r="E47" s="230"/>
      <c r="F47" s="230"/>
      <c r="G47" s="330"/>
      <c r="H47" s="330"/>
      <c r="I47" s="5"/>
      <c r="J47" s="5"/>
      <c r="K47" s="5"/>
    </row>
    <row r="48" spans="1:11" ht="13.5" thickBot="1" x14ac:dyDescent="0.25">
      <c r="A48" s="56"/>
      <c r="B48" s="325" t="s">
        <v>549</v>
      </c>
      <c r="C48" s="241">
        <f>SUM(C44:C47)</f>
        <v>37950000</v>
      </c>
      <c r="D48" s="477"/>
      <c r="E48" s="241">
        <f>SUM(E44:E47)</f>
        <v>14780000</v>
      </c>
      <c r="F48" s="241">
        <f>SUM(F44:F47)</f>
        <v>0</v>
      </c>
      <c r="G48" s="332">
        <f>SUM(G44:G47)</f>
        <v>23170000</v>
      </c>
      <c r="H48" s="332">
        <f>SUM(H44:H47)</f>
        <v>0</v>
      </c>
      <c r="I48" s="5"/>
      <c r="J48" s="5"/>
      <c r="K48" s="5"/>
    </row>
    <row r="49" spans="1:11" ht="13.5" thickTop="1" x14ac:dyDescent="0.2">
      <c r="A49" s="56"/>
      <c r="B49" s="325"/>
      <c r="C49" s="70"/>
      <c r="D49" s="477"/>
      <c r="E49" s="233"/>
      <c r="F49" s="233"/>
      <c r="G49" s="478"/>
      <c r="H49" s="478"/>
      <c r="I49" s="5"/>
      <c r="J49" s="5"/>
      <c r="K49" s="5"/>
    </row>
    <row r="50" spans="1:11" x14ac:dyDescent="0.2">
      <c r="A50" s="56"/>
      <c r="B50" s="476" t="s">
        <v>290</v>
      </c>
      <c r="C50" s="70"/>
      <c r="D50" s="477"/>
      <c r="E50" s="233"/>
      <c r="F50" s="233"/>
      <c r="G50" s="478"/>
      <c r="H50" s="478"/>
      <c r="I50" s="5"/>
      <c r="J50" s="5"/>
      <c r="K50" s="5"/>
    </row>
    <row r="51" spans="1:11" x14ac:dyDescent="0.2">
      <c r="A51" s="56"/>
      <c r="B51" s="325"/>
      <c r="C51" s="70"/>
      <c r="D51" s="477"/>
      <c r="E51" s="233"/>
      <c r="F51" s="233"/>
      <c r="G51" s="478"/>
      <c r="H51" s="478"/>
      <c r="I51" s="5"/>
      <c r="J51" s="5"/>
      <c r="K51" s="5"/>
    </row>
    <row r="52" spans="1:11" x14ac:dyDescent="0.2">
      <c r="A52" s="56"/>
      <c r="B52" s="479" t="s">
        <v>619</v>
      </c>
      <c r="C52" s="230">
        <v>10370000</v>
      </c>
      <c r="D52" s="480" t="s">
        <v>82</v>
      </c>
      <c r="E52" s="481"/>
      <c r="F52" s="481">
        <f>+C52</f>
        <v>10370000</v>
      </c>
      <c r="G52" s="330"/>
      <c r="H52" s="330"/>
      <c r="I52" s="5"/>
      <c r="J52" s="5"/>
      <c r="K52" s="5"/>
    </row>
    <row r="53" spans="1:11" x14ac:dyDescent="0.2">
      <c r="A53" s="56"/>
      <c r="B53" s="325" t="s">
        <v>550</v>
      </c>
      <c r="C53" s="230">
        <v>20088000</v>
      </c>
      <c r="D53" s="480" t="s">
        <v>82</v>
      </c>
      <c r="E53" s="481"/>
      <c r="F53" s="481">
        <f>C53</f>
        <v>20088000</v>
      </c>
      <c r="G53" s="330"/>
      <c r="H53" s="330"/>
      <c r="I53" s="5"/>
      <c r="J53" s="5"/>
      <c r="K53" s="5"/>
    </row>
    <row r="54" spans="1:11" x14ac:dyDescent="0.2">
      <c r="A54" s="56"/>
      <c r="B54" s="325" t="s">
        <v>552</v>
      </c>
      <c r="C54" s="230">
        <v>19410000</v>
      </c>
      <c r="D54" s="480" t="s">
        <v>135</v>
      </c>
      <c r="E54" s="481">
        <f>+C54</f>
        <v>19410000</v>
      </c>
      <c r="F54" s="481"/>
      <c r="G54" s="330"/>
      <c r="H54" s="330"/>
      <c r="I54" s="5"/>
      <c r="J54" s="5"/>
      <c r="K54" s="5"/>
    </row>
    <row r="55" spans="1:11" x14ac:dyDescent="0.2">
      <c r="A55" s="56"/>
      <c r="B55" s="325" t="s">
        <v>551</v>
      </c>
      <c r="C55" s="235">
        <v>16350000</v>
      </c>
      <c r="D55" s="482" t="s">
        <v>139</v>
      </c>
      <c r="E55" s="235">
        <f>C55</f>
        <v>16350000</v>
      </c>
      <c r="F55" s="235"/>
      <c r="G55" s="331"/>
      <c r="H55" s="331">
        <v>1173000</v>
      </c>
      <c r="I55" s="5"/>
      <c r="J55" s="5"/>
      <c r="K55" s="5"/>
    </row>
    <row r="56" spans="1:11" x14ac:dyDescent="0.2">
      <c r="A56" s="56"/>
      <c r="B56" s="325"/>
      <c r="C56" s="230"/>
      <c r="D56" s="483"/>
      <c r="E56" s="481"/>
      <c r="F56" s="481"/>
      <c r="G56" s="330"/>
      <c r="H56" s="330"/>
      <c r="I56" s="5"/>
      <c r="J56" s="5"/>
      <c r="K56" s="5"/>
    </row>
    <row r="57" spans="1:11" ht="13.5" thickBot="1" x14ac:dyDescent="0.25">
      <c r="A57" s="56"/>
      <c r="B57" s="327" t="s">
        <v>291</v>
      </c>
      <c r="C57" s="241">
        <f>SUM(C52:C56)</f>
        <v>66218000</v>
      </c>
      <c r="D57" s="483"/>
      <c r="E57" s="241">
        <f>SUM(E52:E56)</f>
        <v>35760000</v>
      </c>
      <c r="F57" s="241">
        <f>SUM(F52:F56)</f>
        <v>30458000</v>
      </c>
      <c r="G57" s="332">
        <f>SUM(G52:G56)</f>
        <v>0</v>
      </c>
      <c r="H57" s="332">
        <f>SUM(H52:H56)</f>
        <v>1173000</v>
      </c>
      <c r="I57" s="5"/>
      <c r="J57" s="5"/>
      <c r="K57" s="5"/>
    </row>
    <row r="58" spans="1:11" ht="14.25" thickTop="1" thickBot="1" x14ac:dyDescent="0.25">
      <c r="A58" s="56"/>
      <c r="B58" s="333"/>
      <c r="C58" s="335"/>
      <c r="D58" s="484"/>
      <c r="E58" s="485"/>
      <c r="F58" s="485"/>
      <c r="G58" s="486"/>
      <c r="H58" s="486"/>
      <c r="I58" s="5"/>
      <c r="J58" s="5"/>
      <c r="K58" s="5"/>
    </row>
    <row r="59" spans="1:11" x14ac:dyDescent="0.2">
      <c r="A59" s="56"/>
      <c r="B59" s="325"/>
      <c r="C59" s="56"/>
      <c r="D59" s="57"/>
      <c r="E59" s="56"/>
      <c r="F59" s="56"/>
      <c r="G59" s="56"/>
      <c r="H59" s="400"/>
      <c r="I59" s="5"/>
      <c r="J59" s="5"/>
      <c r="K59" s="5"/>
    </row>
    <row r="60" spans="1:11" x14ac:dyDescent="0.2">
      <c r="A60" s="56"/>
      <c r="B60" s="325" t="s">
        <v>498</v>
      </c>
      <c r="C60" s="56"/>
      <c r="D60" s="57"/>
      <c r="E60" s="56"/>
      <c r="F60" s="56"/>
      <c r="G60" s="56"/>
      <c r="H60" s="400"/>
      <c r="I60" s="5"/>
      <c r="J60" s="5"/>
      <c r="K60" s="5"/>
    </row>
    <row r="61" spans="1:11" x14ac:dyDescent="0.2">
      <c r="A61" s="56"/>
      <c r="B61" s="325"/>
      <c r="C61" s="56"/>
      <c r="D61" s="57"/>
      <c r="E61" s="56"/>
      <c r="F61" s="56"/>
      <c r="G61" s="56"/>
      <c r="H61" s="400"/>
      <c r="I61" s="5"/>
      <c r="J61" s="5"/>
      <c r="K61" s="5"/>
    </row>
    <row r="62" spans="1:11" x14ac:dyDescent="0.2">
      <c r="A62" s="56"/>
      <c r="B62" s="325" t="s">
        <v>621</v>
      </c>
      <c r="C62" s="56"/>
      <c r="D62" s="57"/>
      <c r="E62" s="56"/>
      <c r="F62" s="56"/>
      <c r="G62" s="56"/>
      <c r="H62" s="400"/>
      <c r="I62" s="5"/>
      <c r="J62" s="5"/>
      <c r="K62" s="5"/>
    </row>
    <row r="63" spans="1:11" x14ac:dyDescent="0.2">
      <c r="A63" s="56"/>
      <c r="B63" s="325"/>
      <c r="C63" s="56"/>
      <c r="D63" s="57"/>
      <c r="E63" s="56"/>
      <c r="F63" s="56"/>
      <c r="G63" s="56"/>
      <c r="H63" s="400"/>
      <c r="I63" s="5"/>
      <c r="J63" s="5"/>
      <c r="K63" s="5"/>
    </row>
    <row r="64" spans="1:11" x14ac:dyDescent="0.2">
      <c r="A64" s="56"/>
      <c r="B64" s="325" t="s">
        <v>620</v>
      </c>
      <c r="C64" s="56"/>
      <c r="D64" s="57"/>
      <c r="E64" s="56"/>
      <c r="F64" s="56"/>
      <c r="G64" s="56"/>
      <c r="H64" s="400"/>
      <c r="I64" s="5"/>
      <c r="J64" s="5"/>
      <c r="K64" s="5"/>
    </row>
    <row r="65" spans="1:11" x14ac:dyDescent="0.2">
      <c r="A65" s="56"/>
      <c r="B65" s="325" t="s">
        <v>562</v>
      </c>
      <c r="C65" s="56"/>
      <c r="D65" s="57"/>
      <c r="E65" s="56"/>
      <c r="F65" s="56"/>
      <c r="G65" s="56"/>
      <c r="H65" s="400"/>
      <c r="I65" s="5"/>
      <c r="J65" s="5"/>
      <c r="K65" s="5"/>
    </row>
    <row r="66" spans="1:11" ht="13.5" thickBot="1" x14ac:dyDescent="0.25">
      <c r="A66" s="56"/>
      <c r="B66" s="333"/>
      <c r="C66" s="334"/>
      <c r="D66" s="425"/>
      <c r="E66" s="334"/>
      <c r="F66" s="334"/>
      <c r="G66" s="334"/>
      <c r="H66" s="402"/>
      <c r="I66" s="5"/>
      <c r="J66" s="5"/>
      <c r="K66" s="5"/>
    </row>
    <row r="67" spans="1:11" x14ac:dyDescent="0.2">
      <c r="A67" s="56"/>
      <c r="B67" s="56"/>
      <c r="C67" s="56"/>
      <c r="D67" s="57"/>
      <c r="E67" s="56"/>
      <c r="F67" s="56"/>
      <c r="G67" s="56"/>
      <c r="H67" s="56"/>
      <c r="I67" s="5"/>
      <c r="J67" s="5"/>
      <c r="K67" s="5"/>
    </row>
    <row r="68" spans="1:11" x14ac:dyDescent="0.2">
      <c r="A68" s="5"/>
      <c r="B68" s="5"/>
      <c r="C68" s="5"/>
      <c r="D68" s="8"/>
      <c r="E68" s="5"/>
      <c r="F68" s="5"/>
      <c r="G68" s="5"/>
      <c r="H68" s="5"/>
      <c r="I68" s="5"/>
      <c r="J68" s="5"/>
      <c r="K68" s="5"/>
    </row>
    <row r="69" spans="1:11" x14ac:dyDescent="0.2">
      <c r="A69" s="5"/>
      <c r="B69" s="5"/>
      <c r="C69" s="5"/>
      <c r="D69" s="8"/>
      <c r="E69" s="5"/>
      <c r="F69" s="5"/>
      <c r="G69" s="5"/>
      <c r="H69" s="5"/>
      <c r="I69" s="5"/>
      <c r="J69" s="5"/>
      <c r="K69" s="5"/>
    </row>
    <row r="70" spans="1:11" x14ac:dyDescent="0.2">
      <c r="A70" s="5"/>
      <c r="B70" s="5"/>
      <c r="C70" s="5"/>
      <c r="D70" s="8"/>
      <c r="E70" s="5"/>
      <c r="F70" s="5"/>
      <c r="G70" s="5"/>
      <c r="H70" s="5"/>
      <c r="I70" s="5"/>
      <c r="J70" s="5"/>
      <c r="K70" s="5"/>
    </row>
    <row r="71" spans="1:11" x14ac:dyDescent="0.2">
      <c r="A71" s="5"/>
      <c r="B71" s="5"/>
      <c r="C71" s="5"/>
      <c r="D71" s="8"/>
      <c r="E71" s="5"/>
      <c r="G71" s="5"/>
      <c r="H71" s="5"/>
      <c r="I71" s="5"/>
      <c r="J71" s="5"/>
      <c r="K71" s="5"/>
    </row>
    <row r="72" spans="1:11" x14ac:dyDescent="0.2">
      <c r="A72" s="5"/>
      <c r="B72" s="5"/>
      <c r="C72" s="5"/>
      <c r="D72" s="8"/>
      <c r="E72" s="5"/>
      <c r="F72" s="5"/>
      <c r="G72" s="5"/>
      <c r="H72" s="5"/>
      <c r="I72" s="5"/>
      <c r="J72" s="5"/>
      <c r="K72" s="5"/>
    </row>
    <row r="73" spans="1:11" x14ac:dyDescent="0.2">
      <c r="A73" s="5"/>
      <c r="B73" s="5"/>
      <c r="C73" s="5"/>
      <c r="D73" s="8"/>
      <c r="E73" s="5"/>
      <c r="F73" s="5"/>
      <c r="G73" s="5"/>
      <c r="H73" s="5"/>
      <c r="I73" s="5"/>
      <c r="J73" s="5"/>
      <c r="K73" s="5"/>
    </row>
    <row r="74" spans="1:11" x14ac:dyDescent="0.2">
      <c r="A74" s="5"/>
      <c r="B74" s="5"/>
      <c r="C74" s="5"/>
      <c r="D74" s="8"/>
      <c r="E74" s="5"/>
      <c r="F74" s="5"/>
      <c r="G74" s="5"/>
      <c r="H74" s="5"/>
      <c r="I74" s="5"/>
      <c r="J74" s="5"/>
      <c r="K74" s="5"/>
    </row>
    <row r="75" spans="1:11" x14ac:dyDescent="0.2">
      <c r="A75" s="5"/>
      <c r="B75" s="5"/>
      <c r="C75" s="5"/>
      <c r="D75" s="8"/>
      <c r="E75" s="5"/>
      <c r="F75" s="5"/>
      <c r="G75" s="5"/>
      <c r="H75" s="5"/>
      <c r="I75" s="5"/>
      <c r="J75" s="5"/>
      <c r="K75" s="5"/>
    </row>
    <row r="76" spans="1:11" x14ac:dyDescent="0.2">
      <c r="A76" s="5"/>
      <c r="B76" s="5"/>
      <c r="C76" s="5"/>
      <c r="D76" s="8"/>
      <c r="E76" s="5"/>
      <c r="F76" s="5"/>
      <c r="G76" s="5"/>
      <c r="H76" s="5"/>
      <c r="I76" s="5"/>
      <c r="J76" s="5"/>
      <c r="K76" s="5"/>
    </row>
    <row r="77" spans="1:11" x14ac:dyDescent="0.2">
      <c r="A77" s="5"/>
      <c r="B77" s="5"/>
      <c r="C77" s="5"/>
      <c r="D77" s="8"/>
      <c r="E77" s="5"/>
      <c r="F77" s="5"/>
      <c r="G77" s="5"/>
      <c r="H77" s="5"/>
      <c r="I77" s="5"/>
      <c r="J77" s="5"/>
      <c r="K77" s="5"/>
    </row>
    <row r="78" spans="1:11" x14ac:dyDescent="0.2">
      <c r="A78" s="5"/>
      <c r="B78" s="5"/>
      <c r="C78" s="5"/>
      <c r="D78" s="8"/>
      <c r="E78" s="5"/>
      <c r="F78" s="5"/>
      <c r="G78" s="5"/>
      <c r="H78" s="5"/>
      <c r="I78" s="5"/>
      <c r="J78" s="5"/>
      <c r="K78" s="5"/>
    </row>
    <row r="79" spans="1:11" x14ac:dyDescent="0.2">
      <c r="A79" s="5"/>
      <c r="B79" s="5"/>
      <c r="C79" s="5"/>
      <c r="D79" s="8"/>
      <c r="E79" s="5"/>
      <c r="F79" s="5"/>
      <c r="G79" s="5"/>
      <c r="H79" s="5"/>
      <c r="I79" s="5"/>
      <c r="J79" s="5"/>
      <c r="K79" s="5"/>
    </row>
    <row r="80" spans="1:11" x14ac:dyDescent="0.2">
      <c r="A80" s="5"/>
      <c r="B80" s="5"/>
      <c r="C80" s="5"/>
      <c r="D80" s="8"/>
      <c r="E80" s="5"/>
      <c r="F80" s="5"/>
      <c r="G80" s="5"/>
      <c r="H80" s="5"/>
      <c r="I80" s="5"/>
      <c r="J80" s="5"/>
      <c r="K80" s="5"/>
    </row>
    <row r="81" spans="1:11" x14ac:dyDescent="0.2">
      <c r="A81" s="5"/>
      <c r="B81" s="5"/>
      <c r="C81" s="5"/>
      <c r="D81" s="8"/>
      <c r="E81" s="5"/>
      <c r="F81" s="5"/>
      <c r="G81" s="5"/>
      <c r="H81" s="5"/>
      <c r="I81" s="5"/>
      <c r="J81" s="5"/>
      <c r="K81" s="5"/>
    </row>
    <row r="82" spans="1:11" x14ac:dyDescent="0.2">
      <c r="A82" s="5"/>
      <c r="B82" s="5"/>
      <c r="C82" s="5"/>
      <c r="D82" s="8"/>
      <c r="E82" s="5"/>
      <c r="F82" s="5"/>
      <c r="G82" s="5"/>
      <c r="H82" s="5"/>
      <c r="I82" s="5"/>
      <c r="J82" s="5"/>
      <c r="K82" s="5"/>
    </row>
    <row r="83" spans="1:11" x14ac:dyDescent="0.2">
      <c r="A83" s="5"/>
      <c r="B83" s="5"/>
      <c r="C83" s="5"/>
      <c r="D83" s="8"/>
      <c r="E83" s="5"/>
      <c r="F83" s="5"/>
      <c r="G83" s="5"/>
      <c r="H83" s="5"/>
      <c r="I83" s="5"/>
      <c r="J83" s="5"/>
      <c r="K83" s="5"/>
    </row>
    <row r="84" spans="1:11" x14ac:dyDescent="0.2">
      <c r="A84" s="5"/>
      <c r="B84" s="5"/>
      <c r="C84" s="5"/>
      <c r="D84" s="8"/>
      <c r="E84" s="5"/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/>
      <c r="D85" s="8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8"/>
      <c r="E86" s="5"/>
      <c r="F86" s="5"/>
      <c r="G86" s="5"/>
      <c r="H86" s="5"/>
      <c r="I86" s="5"/>
      <c r="J86" s="5"/>
      <c r="K86" s="5"/>
    </row>
    <row r="87" spans="1:11" x14ac:dyDescent="0.2">
      <c r="A87" s="5"/>
      <c r="B87" s="5"/>
      <c r="C87" s="5"/>
      <c r="D87" s="8"/>
      <c r="E87" s="5"/>
      <c r="F87" s="5"/>
      <c r="G87" s="5"/>
      <c r="H87" s="5"/>
      <c r="I87" s="5"/>
      <c r="J87" s="5"/>
      <c r="K87" s="5"/>
    </row>
    <row r="88" spans="1:11" x14ac:dyDescent="0.2">
      <c r="A88" s="5"/>
      <c r="B88" s="5"/>
      <c r="C88" s="5"/>
      <c r="D88" s="8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8"/>
      <c r="E89" s="5"/>
      <c r="F89" s="5"/>
      <c r="G89" s="5"/>
      <c r="H89" s="5"/>
      <c r="I89" s="5"/>
      <c r="J89" s="5"/>
      <c r="K89" s="5"/>
    </row>
    <row r="90" spans="1:11" x14ac:dyDescent="0.2">
      <c r="A90" s="5"/>
      <c r="B90" s="5"/>
      <c r="C90" s="5"/>
      <c r="D90" s="8"/>
      <c r="E90" s="5"/>
      <c r="F90" s="5"/>
      <c r="G90" s="5"/>
      <c r="H90" s="5"/>
      <c r="I90" s="5"/>
      <c r="J90" s="5"/>
      <c r="K90" s="5"/>
    </row>
    <row r="91" spans="1:11" x14ac:dyDescent="0.2">
      <c r="A91" s="5"/>
      <c r="B91" s="5"/>
      <c r="C91" s="5"/>
      <c r="D91" s="8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8"/>
      <c r="E92" s="5"/>
      <c r="F92" s="5"/>
      <c r="G92" s="5"/>
      <c r="H92" s="5"/>
      <c r="I92" s="5"/>
      <c r="J92" s="5"/>
      <c r="K92" s="5"/>
    </row>
    <row r="93" spans="1:11" x14ac:dyDescent="0.2">
      <c r="A93" s="5"/>
      <c r="B93" s="5"/>
      <c r="C93" s="5"/>
      <c r="D93" s="8"/>
      <c r="E93" s="5"/>
      <c r="F93" s="5"/>
      <c r="G93" s="5"/>
      <c r="H93" s="5"/>
      <c r="I93" s="5"/>
      <c r="J93" s="5"/>
      <c r="K93" s="5"/>
    </row>
    <row r="94" spans="1:11" x14ac:dyDescent="0.2">
      <c r="A94" s="5"/>
      <c r="B94" s="5"/>
      <c r="C94" s="5"/>
      <c r="D94" s="8"/>
      <c r="E94" s="5"/>
      <c r="F94" s="5"/>
      <c r="G94" s="5"/>
      <c r="H94" s="5"/>
      <c r="I94" s="5"/>
      <c r="J94" s="5"/>
      <c r="K94" s="5"/>
    </row>
    <row r="95" spans="1:11" x14ac:dyDescent="0.2">
      <c r="A95" s="5"/>
      <c r="B95" s="5"/>
      <c r="C95" s="5"/>
      <c r="D95" s="8"/>
      <c r="E95" s="5"/>
      <c r="F95" s="5"/>
      <c r="G95" s="5"/>
      <c r="H95" s="5"/>
      <c r="I95" s="5"/>
      <c r="J95" s="5"/>
      <c r="K95" s="5"/>
    </row>
    <row r="96" spans="1:11" x14ac:dyDescent="0.2">
      <c r="A96" s="5"/>
      <c r="B96" s="5"/>
      <c r="C96" s="5"/>
      <c r="D96" s="8"/>
      <c r="E96" s="5"/>
      <c r="F96" s="5"/>
      <c r="G96" s="5"/>
      <c r="H96" s="5"/>
      <c r="I96" s="5"/>
      <c r="J96" s="5"/>
      <c r="K96" s="5"/>
    </row>
    <row r="97" spans="1:11" x14ac:dyDescent="0.2">
      <c r="A97" s="5"/>
      <c r="B97" s="5"/>
      <c r="C97" s="5"/>
      <c r="D97" s="8"/>
      <c r="E97" s="5"/>
      <c r="F97" s="5"/>
      <c r="G97" s="5"/>
      <c r="H97" s="5"/>
      <c r="I97" s="5"/>
      <c r="J97" s="5"/>
      <c r="K97" s="5"/>
    </row>
    <row r="98" spans="1:11" x14ac:dyDescent="0.2">
      <c r="A98" s="5"/>
      <c r="B98" s="5"/>
      <c r="C98" s="5"/>
      <c r="D98" s="8"/>
      <c r="E98" s="5"/>
      <c r="F98" s="5"/>
      <c r="G98" s="5"/>
      <c r="H98" s="5"/>
      <c r="I98" s="5"/>
      <c r="J98" s="5"/>
      <c r="K98" s="5"/>
    </row>
    <row r="99" spans="1:11" x14ac:dyDescent="0.2">
      <c r="A99" s="5"/>
      <c r="B99" s="5"/>
      <c r="C99" s="5"/>
      <c r="D99" s="8"/>
      <c r="E99" s="5"/>
      <c r="F99" s="5"/>
      <c r="G99" s="5"/>
      <c r="H99" s="5"/>
      <c r="I99" s="5"/>
      <c r="J99" s="5"/>
      <c r="K99" s="5"/>
    </row>
    <row r="100" spans="1:11" x14ac:dyDescent="0.2">
      <c r="A100" s="5"/>
      <c r="B100" s="5"/>
      <c r="C100" s="5"/>
      <c r="D100" s="8"/>
      <c r="E100" s="5"/>
      <c r="F100" s="5"/>
      <c r="G100" s="5"/>
      <c r="H100" s="5"/>
      <c r="I100" s="5"/>
      <c r="J100" s="5"/>
      <c r="K100" s="5"/>
    </row>
    <row r="101" spans="1:11" x14ac:dyDescent="0.2">
      <c r="A101" s="5"/>
      <c r="B101" s="5"/>
      <c r="C101" s="5"/>
      <c r="D101" s="8"/>
      <c r="E101" s="5"/>
      <c r="F101" s="5"/>
      <c r="G101" s="5"/>
      <c r="H101" s="5"/>
      <c r="I101" s="5"/>
      <c r="J101" s="5"/>
      <c r="K101" s="5"/>
    </row>
    <row r="102" spans="1:11" x14ac:dyDescent="0.2">
      <c r="A102" s="5"/>
      <c r="B102" s="5"/>
      <c r="C102" s="5"/>
      <c r="D102" s="8"/>
      <c r="E102" s="5"/>
      <c r="F102" s="5"/>
      <c r="G102" s="5"/>
      <c r="H102" s="5"/>
      <c r="I102" s="5"/>
      <c r="J102" s="5"/>
      <c r="K102" s="5"/>
    </row>
    <row r="103" spans="1:11" x14ac:dyDescent="0.2">
      <c r="A103" s="5"/>
      <c r="B103" s="5"/>
      <c r="C103" s="5"/>
      <c r="D103" s="8"/>
      <c r="E103" s="5"/>
      <c r="F103" s="5"/>
      <c r="G103" s="5"/>
      <c r="H103" s="5"/>
      <c r="I103" s="5"/>
      <c r="J103" s="5"/>
      <c r="K103" s="5"/>
    </row>
    <row r="104" spans="1:11" x14ac:dyDescent="0.2">
      <c r="A104" s="5"/>
      <c r="B104" s="5"/>
      <c r="C104" s="5"/>
      <c r="D104" s="8"/>
      <c r="E104" s="5"/>
      <c r="F104" s="5"/>
      <c r="G104" s="5"/>
      <c r="H104" s="5"/>
      <c r="I104" s="5"/>
      <c r="J104" s="5"/>
      <c r="K104" s="5"/>
    </row>
    <row r="105" spans="1:11" x14ac:dyDescent="0.2">
      <c r="A105" s="5"/>
      <c r="B105" s="5"/>
      <c r="C105" s="5"/>
      <c r="D105" s="8"/>
      <c r="E105" s="5"/>
      <c r="F105" s="5"/>
      <c r="G105" s="5"/>
      <c r="H105" s="5"/>
      <c r="I105" s="5"/>
      <c r="J105" s="5"/>
      <c r="K105" s="5"/>
    </row>
    <row r="106" spans="1:11" x14ac:dyDescent="0.2">
      <c r="A106" s="5"/>
      <c r="B106" s="5"/>
      <c r="C106" s="5"/>
      <c r="D106" s="8"/>
      <c r="E106" s="5"/>
      <c r="F106" s="5"/>
      <c r="G106" s="5"/>
      <c r="H106" s="5"/>
      <c r="I106" s="5"/>
      <c r="J106" s="5"/>
      <c r="K106" s="5"/>
    </row>
    <row r="107" spans="1:11" x14ac:dyDescent="0.2">
      <c r="A107" s="5"/>
      <c r="B107" s="5"/>
      <c r="C107" s="5"/>
      <c r="D107" s="8"/>
      <c r="E107" s="5"/>
      <c r="F107" s="5"/>
      <c r="G107" s="5"/>
      <c r="H107" s="5"/>
      <c r="I107" s="5"/>
      <c r="J107" s="5"/>
      <c r="K107" s="5"/>
    </row>
    <row r="108" spans="1:11" x14ac:dyDescent="0.2">
      <c r="A108" s="5"/>
      <c r="B108" s="5"/>
      <c r="C108" s="5"/>
      <c r="D108" s="8"/>
      <c r="E108" s="5"/>
      <c r="F108" s="5"/>
      <c r="G108" s="5"/>
      <c r="H108" s="5"/>
      <c r="I108" s="5"/>
      <c r="J108" s="5"/>
      <c r="K108" s="5"/>
    </row>
    <row r="109" spans="1:11" x14ac:dyDescent="0.2">
      <c r="A109" s="5"/>
      <c r="B109" s="5"/>
      <c r="C109" s="5"/>
      <c r="D109" s="8"/>
      <c r="E109" s="5"/>
      <c r="F109" s="5"/>
      <c r="G109" s="5"/>
      <c r="H109" s="5"/>
      <c r="I109" s="5"/>
      <c r="J109" s="5"/>
      <c r="K109" s="5"/>
    </row>
    <row r="110" spans="1:11" x14ac:dyDescent="0.2">
      <c r="A110" s="5"/>
      <c r="B110" s="5"/>
      <c r="C110" s="5"/>
      <c r="D110" s="8"/>
      <c r="E110" s="5"/>
      <c r="F110" s="5"/>
      <c r="G110" s="5"/>
      <c r="H110" s="5"/>
      <c r="I110" s="5"/>
      <c r="J110" s="5"/>
      <c r="K110" s="5"/>
    </row>
    <row r="111" spans="1:11" x14ac:dyDescent="0.2">
      <c r="A111" s="5"/>
      <c r="B111" s="5"/>
      <c r="C111" s="5"/>
      <c r="D111" s="8"/>
      <c r="E111" s="5"/>
      <c r="F111" s="5"/>
      <c r="G111" s="5"/>
      <c r="H111" s="5"/>
      <c r="I111" s="5"/>
      <c r="J111" s="5"/>
      <c r="K111" s="5"/>
    </row>
    <row r="112" spans="1:11" x14ac:dyDescent="0.2">
      <c r="A112" s="5"/>
      <c r="B112" s="5"/>
      <c r="C112" s="5"/>
      <c r="D112" s="8"/>
      <c r="E112" s="5"/>
      <c r="F112" s="5"/>
      <c r="G112" s="5"/>
      <c r="H112" s="5"/>
      <c r="I112" s="5"/>
      <c r="J112" s="5"/>
      <c r="K112" s="5"/>
    </row>
    <row r="113" spans="1:11" x14ac:dyDescent="0.2">
      <c r="A113" s="5"/>
      <c r="B113" s="5"/>
      <c r="C113" s="5"/>
      <c r="D113" s="8"/>
      <c r="E113" s="5"/>
      <c r="F113" s="5"/>
      <c r="G113" s="5"/>
      <c r="H113" s="5"/>
      <c r="I113" s="5"/>
      <c r="J113" s="5"/>
      <c r="K113" s="5"/>
    </row>
    <row r="114" spans="1:11" x14ac:dyDescent="0.2">
      <c r="A114" s="5"/>
      <c r="B114" s="5"/>
      <c r="C114" s="5"/>
      <c r="D114" s="8"/>
      <c r="E114" s="5"/>
      <c r="F114" s="5"/>
      <c r="G114" s="5"/>
      <c r="H114" s="5"/>
      <c r="I114" s="5"/>
      <c r="J114" s="5"/>
      <c r="K114" s="5"/>
    </row>
    <row r="115" spans="1:11" x14ac:dyDescent="0.2">
      <c r="A115" s="5"/>
      <c r="B115" s="5"/>
      <c r="C115" s="5"/>
      <c r="D115" s="8"/>
      <c r="E115" s="5"/>
      <c r="F115" s="5"/>
      <c r="G115" s="5"/>
      <c r="H115" s="5"/>
      <c r="I115" s="5"/>
      <c r="J115" s="5"/>
      <c r="K115" s="5"/>
    </row>
    <row r="116" spans="1:11" x14ac:dyDescent="0.2">
      <c r="A116" s="5"/>
      <c r="B116" s="5"/>
      <c r="C116" s="5"/>
      <c r="D116" s="8"/>
      <c r="E116" s="5"/>
      <c r="F116" s="5"/>
      <c r="G116" s="5"/>
      <c r="H116" s="5"/>
      <c r="I116" s="5"/>
      <c r="J116" s="5"/>
      <c r="K116" s="5"/>
    </row>
    <row r="117" spans="1:11" x14ac:dyDescent="0.2">
      <c r="A117" s="5"/>
      <c r="B117" s="5"/>
      <c r="C117" s="5"/>
      <c r="D117" s="8"/>
      <c r="E117" s="5"/>
      <c r="F117" s="5"/>
      <c r="G117" s="5"/>
      <c r="H117" s="5"/>
      <c r="I117" s="5"/>
      <c r="J117" s="5"/>
      <c r="K117" s="5"/>
    </row>
    <row r="118" spans="1:11" x14ac:dyDescent="0.2">
      <c r="A118" s="5"/>
      <c r="B118" s="5"/>
      <c r="C118" s="5"/>
      <c r="D118" s="8"/>
      <c r="E118" s="5"/>
      <c r="F118" s="5"/>
      <c r="G118" s="5"/>
      <c r="H118" s="5"/>
      <c r="I118" s="5"/>
      <c r="J118" s="5"/>
      <c r="K118" s="5"/>
    </row>
    <row r="119" spans="1:11" x14ac:dyDescent="0.2">
      <c r="A119" s="5"/>
      <c r="B119" s="5"/>
      <c r="C119" s="5"/>
      <c r="D119" s="8"/>
      <c r="E119" s="5"/>
      <c r="F119" s="5"/>
      <c r="G119" s="5"/>
      <c r="H119" s="5"/>
      <c r="I119" s="5"/>
      <c r="J119" s="5"/>
      <c r="K119" s="5"/>
    </row>
    <row r="120" spans="1:11" x14ac:dyDescent="0.2">
      <c r="A120" s="5"/>
      <c r="B120" s="5"/>
      <c r="C120" s="5"/>
      <c r="D120" s="8"/>
      <c r="E120" s="5"/>
      <c r="F120" s="5"/>
      <c r="G120" s="5"/>
      <c r="H120" s="5"/>
      <c r="I120" s="5"/>
      <c r="J120" s="5"/>
      <c r="K120" s="5"/>
    </row>
    <row r="121" spans="1:11" x14ac:dyDescent="0.2">
      <c r="A121" s="5"/>
      <c r="B121" s="5"/>
      <c r="C121" s="5"/>
      <c r="D121" s="8"/>
      <c r="E121" s="5"/>
      <c r="F121" s="5"/>
      <c r="G121" s="5"/>
      <c r="H121" s="5"/>
      <c r="I121" s="5"/>
      <c r="J121" s="5"/>
      <c r="K121" s="5"/>
    </row>
    <row r="122" spans="1:11" x14ac:dyDescent="0.2">
      <c r="A122" s="5"/>
      <c r="B122" s="5"/>
      <c r="C122" s="5"/>
      <c r="D122" s="8"/>
      <c r="E122" s="5"/>
      <c r="F122" s="5"/>
      <c r="G122" s="5"/>
      <c r="H122" s="5"/>
      <c r="I122" s="5"/>
      <c r="J122" s="5"/>
      <c r="K122" s="5"/>
    </row>
    <row r="123" spans="1:11" x14ac:dyDescent="0.2">
      <c r="A123" s="5"/>
      <c r="B123" s="5"/>
      <c r="C123" s="5"/>
      <c r="D123" s="8"/>
      <c r="E123" s="5"/>
      <c r="F123" s="5"/>
      <c r="G123" s="5"/>
      <c r="H123" s="5"/>
      <c r="I123" s="5"/>
      <c r="J123" s="5"/>
      <c r="K123" s="5"/>
    </row>
    <row r="124" spans="1:11" x14ac:dyDescent="0.2">
      <c r="A124" s="5"/>
      <c r="B124" s="5"/>
      <c r="C124" s="5"/>
      <c r="D124" s="8"/>
      <c r="E124" s="5"/>
      <c r="F124" s="5"/>
      <c r="G124" s="5"/>
      <c r="H124" s="5"/>
      <c r="I124" s="5"/>
      <c r="J124" s="5"/>
      <c r="K124" s="5"/>
    </row>
    <row r="125" spans="1:11" x14ac:dyDescent="0.2">
      <c r="A125" s="5"/>
      <c r="B125" s="5"/>
      <c r="C125" s="5"/>
      <c r="D125" s="8"/>
      <c r="E125" s="5"/>
      <c r="F125" s="5"/>
      <c r="G125" s="5"/>
      <c r="H125" s="5"/>
      <c r="I125" s="5"/>
      <c r="J125" s="5"/>
      <c r="K125" s="5"/>
    </row>
    <row r="126" spans="1:11" x14ac:dyDescent="0.2">
      <c r="A126" s="5"/>
      <c r="B126" s="5"/>
      <c r="C126" s="5"/>
      <c r="D126" s="8"/>
      <c r="E126" s="5"/>
      <c r="F126" s="5"/>
      <c r="G126" s="5"/>
      <c r="H126" s="5"/>
      <c r="I126" s="5"/>
      <c r="J126" s="5"/>
      <c r="K126" s="5"/>
    </row>
    <row r="127" spans="1:11" x14ac:dyDescent="0.2">
      <c r="A127" s="5"/>
      <c r="B127" s="5"/>
      <c r="C127" s="5"/>
      <c r="D127" s="8"/>
      <c r="E127" s="5"/>
      <c r="F127" s="5"/>
      <c r="G127" s="5"/>
      <c r="H127" s="5"/>
      <c r="I127" s="5"/>
      <c r="J127" s="5"/>
      <c r="K127" s="5"/>
    </row>
    <row r="128" spans="1:11" x14ac:dyDescent="0.2">
      <c r="A128" s="5"/>
      <c r="B128" s="5"/>
      <c r="C128" s="5"/>
      <c r="D128" s="8"/>
      <c r="E128" s="5"/>
      <c r="F128" s="5"/>
      <c r="G128" s="5"/>
      <c r="H128" s="5"/>
      <c r="I128" s="5"/>
      <c r="J128" s="5"/>
      <c r="K128" s="5"/>
    </row>
    <row r="129" spans="1:11" x14ac:dyDescent="0.2">
      <c r="A129" s="5"/>
      <c r="B129" s="5"/>
      <c r="C129" s="5"/>
      <c r="D129" s="8"/>
      <c r="E129" s="5"/>
      <c r="F129" s="5"/>
      <c r="G129" s="5"/>
      <c r="H129" s="5"/>
      <c r="I129" s="5"/>
      <c r="J129" s="5"/>
      <c r="K129" s="5"/>
    </row>
    <row r="130" spans="1:11" x14ac:dyDescent="0.2">
      <c r="A130" s="5"/>
      <c r="B130" s="5"/>
      <c r="C130" s="5"/>
      <c r="D130" s="8"/>
      <c r="E130" s="5"/>
      <c r="F130" s="5"/>
      <c r="G130" s="5"/>
      <c r="H130" s="5"/>
      <c r="I130" s="5"/>
      <c r="J130" s="5"/>
      <c r="K130" s="5"/>
    </row>
    <row r="131" spans="1:11" x14ac:dyDescent="0.2">
      <c r="A131" s="5"/>
      <c r="B131" s="5"/>
      <c r="C131" s="5"/>
      <c r="D131" s="8"/>
      <c r="E131" s="5"/>
      <c r="F131" s="5"/>
      <c r="G131" s="5"/>
      <c r="H131" s="5"/>
      <c r="I131" s="5"/>
      <c r="J131" s="5"/>
      <c r="K131" s="5"/>
    </row>
    <row r="132" spans="1:11" x14ac:dyDescent="0.2">
      <c r="A132" s="5"/>
      <c r="B132" s="5"/>
      <c r="C132" s="5"/>
      <c r="D132" s="8"/>
      <c r="E132" s="5"/>
      <c r="F132" s="5"/>
      <c r="G132" s="5"/>
      <c r="H132" s="5"/>
      <c r="I132" s="5"/>
      <c r="J132" s="5"/>
      <c r="K132" s="5"/>
    </row>
    <row r="133" spans="1:11" x14ac:dyDescent="0.2">
      <c r="A133" s="5"/>
      <c r="B133" s="5"/>
      <c r="C133" s="5"/>
      <c r="D133" s="8"/>
      <c r="E133" s="5"/>
      <c r="F133" s="5"/>
      <c r="G133" s="5"/>
      <c r="H133" s="5"/>
      <c r="I133" s="5"/>
      <c r="J133" s="5"/>
      <c r="K133" s="5"/>
    </row>
    <row r="134" spans="1:11" x14ac:dyDescent="0.2">
      <c r="A134" s="5"/>
      <c r="B134" s="5"/>
      <c r="C134" s="5"/>
      <c r="D134" s="8"/>
      <c r="E134" s="5"/>
      <c r="F134" s="5"/>
      <c r="G134" s="5"/>
      <c r="H134" s="5"/>
      <c r="I134" s="5"/>
      <c r="J134" s="5"/>
      <c r="K134" s="5"/>
    </row>
    <row r="135" spans="1:11" x14ac:dyDescent="0.2">
      <c r="A135" s="5"/>
      <c r="B135" s="5"/>
      <c r="C135" s="5"/>
      <c r="D135" s="8"/>
      <c r="E135" s="5"/>
      <c r="F135" s="5"/>
      <c r="G135" s="5"/>
      <c r="H135" s="5"/>
      <c r="I135" s="5"/>
      <c r="J135" s="5"/>
      <c r="K135" s="5"/>
    </row>
    <row r="136" spans="1:11" x14ac:dyDescent="0.2">
      <c r="A136" s="5"/>
      <c r="B136" s="5"/>
      <c r="C136" s="5"/>
      <c r="D136" s="8"/>
      <c r="E136" s="5"/>
      <c r="F136" s="5"/>
      <c r="G136" s="5"/>
      <c r="H136" s="5"/>
      <c r="I136" s="5"/>
      <c r="J136" s="5"/>
      <c r="K136" s="5"/>
    </row>
    <row r="137" spans="1:11" x14ac:dyDescent="0.2">
      <c r="A137" s="5"/>
      <c r="B137" s="5"/>
      <c r="C137" s="5"/>
      <c r="D137" s="8"/>
      <c r="E137" s="5"/>
      <c r="F137" s="5"/>
      <c r="G137" s="5"/>
      <c r="H137" s="5"/>
      <c r="I137" s="5"/>
      <c r="J137" s="5"/>
      <c r="K137" s="5"/>
    </row>
    <row r="138" spans="1:11" x14ac:dyDescent="0.2">
      <c r="A138" s="5"/>
      <c r="B138" s="5"/>
      <c r="C138" s="5"/>
      <c r="D138" s="8"/>
      <c r="E138" s="5"/>
      <c r="F138" s="5"/>
      <c r="G138" s="5"/>
      <c r="H138" s="5"/>
      <c r="I138" s="5"/>
      <c r="J138" s="5"/>
      <c r="K138" s="5"/>
    </row>
    <row r="139" spans="1:11" x14ac:dyDescent="0.2">
      <c r="A139" s="5"/>
      <c r="B139" s="5"/>
      <c r="C139" s="5"/>
      <c r="D139" s="8"/>
      <c r="E139" s="5"/>
      <c r="F139" s="5"/>
      <c r="G139" s="5"/>
      <c r="H139" s="5"/>
      <c r="I139" s="5"/>
      <c r="J139" s="5"/>
      <c r="K139" s="5"/>
    </row>
    <row r="140" spans="1:11" x14ac:dyDescent="0.2">
      <c r="A140" s="5"/>
      <c r="B140" s="5"/>
      <c r="C140" s="5"/>
      <c r="D140" s="8"/>
      <c r="E140" s="5"/>
      <c r="F140" s="5"/>
      <c r="G140" s="5"/>
      <c r="H140" s="5"/>
      <c r="I140" s="5"/>
      <c r="J140" s="5"/>
      <c r="K140" s="5"/>
    </row>
    <row r="141" spans="1:11" x14ac:dyDescent="0.2">
      <c r="A141" s="5"/>
      <c r="B141" s="5"/>
      <c r="C141" s="5"/>
      <c r="D141" s="8"/>
      <c r="E141" s="5"/>
      <c r="F141" s="5"/>
      <c r="G141" s="5"/>
      <c r="H141" s="5"/>
      <c r="I141" s="5"/>
      <c r="J141" s="5"/>
      <c r="K141" s="5"/>
    </row>
    <row r="142" spans="1:11" x14ac:dyDescent="0.2">
      <c r="A142" s="5"/>
      <c r="B142" s="5"/>
      <c r="C142" s="5"/>
      <c r="D142" s="8"/>
      <c r="E142" s="5"/>
      <c r="F142" s="5"/>
      <c r="G142" s="5"/>
      <c r="H142" s="5"/>
      <c r="I142" s="5"/>
      <c r="J142" s="5"/>
      <c r="K142" s="5"/>
    </row>
    <row r="143" spans="1:11" x14ac:dyDescent="0.2">
      <c r="A143" s="5"/>
      <c r="B143" s="5"/>
      <c r="C143" s="5"/>
      <c r="D143" s="8"/>
      <c r="E143" s="5"/>
      <c r="F143" s="5"/>
      <c r="G143" s="5"/>
      <c r="H143" s="5"/>
      <c r="I143" s="5"/>
      <c r="J143" s="5"/>
      <c r="K143" s="5"/>
    </row>
    <row r="144" spans="1:11" x14ac:dyDescent="0.2">
      <c r="A144" s="5"/>
      <c r="B144" s="5"/>
      <c r="C144" s="5"/>
      <c r="D144" s="8"/>
      <c r="E144" s="5"/>
      <c r="F144" s="5"/>
      <c r="G144" s="5"/>
      <c r="H144" s="5"/>
      <c r="I144" s="5"/>
      <c r="J144" s="5"/>
      <c r="K144" s="5"/>
    </row>
    <row r="145" spans="1:11" x14ac:dyDescent="0.2">
      <c r="A145" s="5"/>
      <c r="B145" s="5"/>
      <c r="C145" s="5"/>
      <c r="D145" s="8"/>
      <c r="E145" s="5"/>
      <c r="F145" s="5"/>
      <c r="G145" s="5"/>
      <c r="H145" s="5"/>
      <c r="I145" s="5"/>
      <c r="J145" s="5"/>
      <c r="K145" s="5"/>
    </row>
    <row r="146" spans="1:11" x14ac:dyDescent="0.2">
      <c r="A146" s="5"/>
      <c r="B146" s="5"/>
      <c r="C146" s="5"/>
      <c r="D146" s="8"/>
      <c r="E146" s="5"/>
      <c r="F146" s="5"/>
      <c r="G146" s="5"/>
      <c r="H146" s="5"/>
      <c r="I146" s="5"/>
      <c r="J146" s="5"/>
      <c r="K146" s="5"/>
    </row>
    <row r="147" spans="1:11" x14ac:dyDescent="0.2">
      <c r="A147" s="5"/>
      <c r="B147" s="5"/>
      <c r="C147" s="5"/>
      <c r="D147" s="8"/>
      <c r="E147" s="5"/>
      <c r="F147" s="5"/>
      <c r="G147" s="5"/>
      <c r="H147" s="5"/>
      <c r="I147" s="5"/>
      <c r="J147" s="5"/>
      <c r="K147" s="5"/>
    </row>
    <row r="148" spans="1:11" x14ac:dyDescent="0.2">
      <c r="A148" s="5"/>
      <c r="B148" s="5"/>
      <c r="C148" s="5"/>
      <c r="D148" s="8"/>
      <c r="E148" s="5"/>
      <c r="F148" s="5"/>
      <c r="G148" s="5"/>
      <c r="H148" s="5"/>
      <c r="I148" s="5"/>
      <c r="J148" s="5"/>
      <c r="K148" s="5"/>
    </row>
    <row r="149" spans="1:11" x14ac:dyDescent="0.2">
      <c r="A149" s="5"/>
      <c r="B149" s="5"/>
      <c r="C149" s="5"/>
      <c r="D149" s="8"/>
      <c r="E149" s="5"/>
      <c r="F149" s="5"/>
      <c r="G149" s="5"/>
      <c r="H149" s="5"/>
      <c r="I149" s="5"/>
      <c r="J149" s="5"/>
      <c r="K149" s="5"/>
    </row>
    <row r="150" spans="1:11" x14ac:dyDescent="0.2">
      <c r="A150" s="5"/>
      <c r="B150" s="5"/>
      <c r="C150" s="5"/>
      <c r="D150" s="8"/>
      <c r="E150" s="5"/>
      <c r="F150" s="5"/>
      <c r="G150" s="5"/>
      <c r="H150" s="5"/>
      <c r="I150" s="5"/>
      <c r="J150" s="5"/>
      <c r="K150" s="5"/>
    </row>
    <row r="151" spans="1:11" x14ac:dyDescent="0.2">
      <c r="A151" s="5"/>
      <c r="B151" s="5"/>
      <c r="C151" s="5"/>
      <c r="D151" s="8"/>
      <c r="E151" s="5"/>
      <c r="F151" s="5"/>
      <c r="G151" s="5"/>
      <c r="H151" s="5"/>
      <c r="I151" s="5"/>
      <c r="J151" s="5"/>
      <c r="K151" s="5"/>
    </row>
    <row r="152" spans="1:11" x14ac:dyDescent="0.2">
      <c r="A152" s="5"/>
      <c r="B152" s="5"/>
      <c r="C152" s="5"/>
      <c r="D152" s="8"/>
      <c r="E152" s="5"/>
      <c r="F152" s="5"/>
      <c r="G152" s="5"/>
      <c r="H152" s="5"/>
      <c r="I152" s="5"/>
      <c r="J152" s="5"/>
      <c r="K152" s="5"/>
    </row>
    <row r="153" spans="1:11" x14ac:dyDescent="0.2">
      <c r="A153" s="5"/>
      <c r="B153" s="5"/>
      <c r="C153" s="5"/>
      <c r="D153" s="8"/>
      <c r="E153" s="5"/>
      <c r="F153" s="5"/>
      <c r="G153" s="5"/>
      <c r="H153" s="5"/>
      <c r="I153" s="5"/>
      <c r="J153" s="5"/>
      <c r="K153" s="5"/>
    </row>
    <row r="154" spans="1:11" x14ac:dyDescent="0.2">
      <c r="A154" s="5"/>
      <c r="B154" s="5"/>
      <c r="C154" s="5"/>
      <c r="D154" s="8"/>
      <c r="E154" s="5"/>
      <c r="F154" s="5"/>
      <c r="G154" s="5"/>
      <c r="H154" s="5"/>
      <c r="I154" s="5"/>
      <c r="J154" s="5"/>
      <c r="K154" s="5"/>
    </row>
    <row r="155" spans="1:11" x14ac:dyDescent="0.2">
      <c r="A155" s="5"/>
      <c r="B155" s="5"/>
      <c r="C155" s="5"/>
      <c r="D155" s="8"/>
      <c r="E155" s="5"/>
      <c r="F155" s="5"/>
      <c r="G155" s="5"/>
      <c r="H155" s="5"/>
      <c r="I155" s="5"/>
      <c r="J155" s="5"/>
      <c r="K155" s="5"/>
    </row>
    <row r="156" spans="1:11" x14ac:dyDescent="0.2">
      <c r="A156" s="5"/>
      <c r="B156" s="5"/>
      <c r="C156" s="5"/>
      <c r="D156" s="8"/>
      <c r="E156" s="5"/>
      <c r="F156" s="5"/>
      <c r="G156" s="5"/>
      <c r="H156" s="5"/>
      <c r="I156" s="5"/>
      <c r="J156" s="5"/>
      <c r="K156" s="5"/>
    </row>
    <row r="157" spans="1:11" x14ac:dyDescent="0.2">
      <c r="A157" s="5"/>
      <c r="B157" s="5"/>
      <c r="C157" s="5"/>
      <c r="D157" s="8"/>
      <c r="E157" s="5"/>
      <c r="F157" s="5"/>
      <c r="G157" s="5"/>
      <c r="H157" s="5"/>
      <c r="I157" s="5"/>
      <c r="J157" s="5"/>
      <c r="K157" s="5"/>
    </row>
    <row r="158" spans="1:11" x14ac:dyDescent="0.2">
      <c r="A158" s="5"/>
      <c r="B158" s="5"/>
      <c r="C158" s="5"/>
      <c r="D158" s="8"/>
      <c r="E158" s="5"/>
      <c r="F158" s="5"/>
      <c r="G158" s="5"/>
      <c r="H158" s="5"/>
      <c r="I158" s="5"/>
      <c r="J158" s="5"/>
      <c r="K158" s="5"/>
    </row>
    <row r="159" spans="1:11" x14ac:dyDescent="0.2">
      <c r="A159" s="5"/>
      <c r="B159" s="5"/>
      <c r="C159" s="5"/>
      <c r="D159" s="8"/>
      <c r="E159" s="5"/>
      <c r="F159" s="5"/>
      <c r="G159" s="5"/>
      <c r="H159" s="5"/>
      <c r="I159" s="5"/>
      <c r="J159" s="5"/>
      <c r="K159" s="5"/>
    </row>
    <row r="160" spans="1:11" x14ac:dyDescent="0.2">
      <c r="A160" s="5"/>
      <c r="B160" s="5"/>
      <c r="C160" s="5"/>
      <c r="D160" s="8"/>
      <c r="E160" s="5"/>
      <c r="F160" s="5"/>
      <c r="G160" s="5"/>
      <c r="H160" s="5"/>
      <c r="I160" s="5"/>
      <c r="J160" s="5"/>
      <c r="K160" s="5"/>
    </row>
    <row r="161" spans="1:11" x14ac:dyDescent="0.2">
      <c r="A161" s="5"/>
      <c r="B161" s="5"/>
      <c r="C161" s="5"/>
      <c r="D161" s="8"/>
      <c r="E161" s="5"/>
      <c r="F161" s="5"/>
      <c r="G161" s="5"/>
      <c r="H161" s="5"/>
      <c r="I161" s="5"/>
      <c r="J161" s="5"/>
      <c r="K161" s="5"/>
    </row>
    <row r="162" spans="1:11" x14ac:dyDescent="0.2">
      <c r="A162" s="5"/>
      <c r="B162" s="5"/>
      <c r="C162" s="5"/>
      <c r="D162" s="8"/>
      <c r="E162" s="5"/>
      <c r="F162" s="5"/>
      <c r="G162" s="5"/>
      <c r="H162" s="5"/>
      <c r="I162" s="5"/>
      <c r="J162" s="5"/>
      <c r="K162" s="5"/>
    </row>
    <row r="163" spans="1:11" x14ac:dyDescent="0.2">
      <c r="A163" s="5"/>
      <c r="B163" s="5"/>
      <c r="C163" s="5"/>
      <c r="D163" s="8"/>
      <c r="E163" s="5"/>
      <c r="F163" s="5"/>
      <c r="G163" s="5"/>
      <c r="H163" s="5"/>
      <c r="I163" s="5"/>
      <c r="J163" s="5"/>
      <c r="K163" s="5"/>
    </row>
  </sheetData>
  <sheetProtection algorithmName="SHA-512" hashValue="EY4wO5v7KKWRqWMh8ZOX0hWfSpSzjoUnPQDcJUe3GOFpHUa4i4F4oIIa435XWNKlbNCCZcGUIIs5A+zgrtuDHw==" saltValue="xw+OPYXXl6y4xSqDfm/miw==" spinCount="100000" sheet="1" objects="1" scenarios="1"/>
  <phoneticPr fontId="7" type="noConversion"/>
  <printOptions horizontalCentered="1" verticalCentered="1"/>
  <pageMargins left="0.78740157480314965" right="0.59055118110236227" top="0.78740157480314965" bottom="0.78740157480314965" header="0.51181102362204722" footer="0.51181102362204722"/>
  <pageSetup scale="82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B35:H36 B56:H58 C55 E55:H55 B47:H47 C45:H46 B49:H51 C48:H48 C52 E52:H52 E53:E54 G53:H53 B1:B17 F9:G14 F15:G15 C16:G22 C15:E15 B38:H44 B37:F37 H37 C24:G27 C23:D23 E23:G23" unlockedFormula="1"/>
    <ignoredError sqref="D52:D53 B18:B21" numberStoredAsText="1" unlockedFormula="1"/>
    <ignoredError sqref="D54:D55" numberStoredAsText="1"/>
    <ignoredError sqref="F53" formula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81BE-B5CA-42BC-9076-840109076B42}">
  <dimension ref="A1:V64"/>
  <sheetViews>
    <sheetView zoomScaleNormal="100" workbookViewId="0">
      <selection activeCell="F3" sqref="F3"/>
    </sheetView>
  </sheetViews>
  <sheetFormatPr baseColWidth="10" defaultRowHeight="12" x14ac:dyDescent="0.2"/>
  <cols>
    <col min="1" max="1" width="1.7109375" style="487" customWidth="1"/>
    <col min="2" max="2" width="4.42578125" style="489" customWidth="1"/>
    <col min="3" max="3" width="5.7109375" style="489" customWidth="1"/>
    <col min="4" max="4" width="47.7109375" style="489" bestFit="1" customWidth="1"/>
    <col min="5" max="6" width="12.7109375" style="489" customWidth="1"/>
    <col min="7" max="7" width="2.7109375" style="489" customWidth="1"/>
    <col min="8" max="8" width="7.7109375" style="489" customWidth="1"/>
    <col min="9" max="9" width="3.7109375" style="489" customWidth="1"/>
    <col min="10" max="16384" width="11.42578125" style="489"/>
  </cols>
  <sheetData>
    <row r="1" spans="1:22" x14ac:dyDescent="0.2">
      <c r="A1" s="490"/>
      <c r="B1" s="54" t="str">
        <f>+'15. EFECTIVO - EXT'!B1</f>
        <v>EL EXPERTO S.A.S.</v>
      </c>
      <c r="C1" s="56"/>
      <c r="D1" s="56"/>
      <c r="E1" s="56"/>
      <c r="F1" s="491"/>
      <c r="G1" s="491"/>
      <c r="H1" s="491"/>
      <c r="I1" s="491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</row>
    <row r="2" spans="1:22" x14ac:dyDescent="0.2">
      <c r="A2" s="490"/>
      <c r="B2" s="54" t="str">
        <f>+'15. EFECTIVO - EXT'!B2</f>
        <v>NIT 890.378.233 - 1</v>
      </c>
      <c r="C2" s="56"/>
      <c r="D2" s="56"/>
      <c r="E2" s="56"/>
      <c r="F2" s="491"/>
      <c r="G2" s="491"/>
      <c r="H2" s="491"/>
      <c r="I2" s="491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</row>
    <row r="3" spans="1:22" x14ac:dyDescent="0.2">
      <c r="A3" s="490"/>
      <c r="B3" s="54" t="str">
        <f>+'15. EFECTIVO - EXT'!B3</f>
        <v>DECLARACION DE RENTA AÑO GRAVABLE 2024</v>
      </c>
      <c r="C3" s="56"/>
      <c r="D3" s="56"/>
      <c r="E3" s="492"/>
      <c r="F3" s="59" t="s">
        <v>130</v>
      </c>
      <c r="G3" s="491"/>
      <c r="H3" s="491"/>
      <c r="I3" s="491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</row>
    <row r="4" spans="1:22" x14ac:dyDescent="0.2">
      <c r="A4" s="490"/>
      <c r="B4" s="54" t="s">
        <v>580</v>
      </c>
      <c r="C4" s="56"/>
      <c r="D4" s="56"/>
      <c r="E4" s="56"/>
      <c r="F4" s="491"/>
      <c r="G4" s="491"/>
      <c r="H4" s="491"/>
      <c r="I4" s="491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</row>
    <row r="5" spans="1:22" x14ac:dyDescent="0.2">
      <c r="A5" s="490"/>
      <c r="B5" s="492"/>
      <c r="C5" s="491"/>
      <c r="D5" s="491"/>
      <c r="E5" s="491"/>
      <c r="F5" s="491"/>
      <c r="G5" s="491"/>
      <c r="H5" s="491"/>
      <c r="I5" s="491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</row>
    <row r="6" spans="1:22" x14ac:dyDescent="0.2">
      <c r="A6" s="490"/>
      <c r="B6" s="566" t="s">
        <v>566</v>
      </c>
      <c r="C6" s="567"/>
      <c r="D6" s="568"/>
      <c r="E6" s="493" t="s">
        <v>567</v>
      </c>
      <c r="F6" s="493" t="s">
        <v>568</v>
      </c>
      <c r="G6" s="494"/>
      <c r="H6" s="495" t="s">
        <v>83</v>
      </c>
      <c r="I6" s="491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</row>
    <row r="7" spans="1:22" ht="10.5" customHeight="1" x14ac:dyDescent="0.2">
      <c r="A7" s="490"/>
      <c r="B7" s="496"/>
      <c r="C7" s="491"/>
      <c r="D7" s="497"/>
      <c r="E7" s="498"/>
      <c r="F7" s="499"/>
      <c r="G7" s="500"/>
      <c r="H7" s="501"/>
      <c r="I7" s="491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</row>
    <row r="8" spans="1:22" x14ac:dyDescent="0.2">
      <c r="A8" s="490"/>
      <c r="B8" s="563" t="s">
        <v>588</v>
      </c>
      <c r="C8" s="564"/>
      <c r="D8" s="565"/>
      <c r="E8" s="498"/>
      <c r="F8" s="498"/>
      <c r="G8" s="500"/>
      <c r="H8" s="501"/>
      <c r="I8" s="491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</row>
    <row r="9" spans="1:22" x14ac:dyDescent="0.2">
      <c r="A9" s="490"/>
      <c r="B9" s="496"/>
      <c r="C9" s="491"/>
      <c r="D9" s="497"/>
      <c r="E9" s="498"/>
      <c r="F9" s="498"/>
      <c r="G9" s="500"/>
      <c r="H9" s="501"/>
      <c r="I9" s="491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</row>
    <row r="10" spans="1:22" x14ac:dyDescent="0.2">
      <c r="A10" s="490"/>
      <c r="B10" s="496"/>
      <c r="C10" s="491" t="s">
        <v>43</v>
      </c>
      <c r="D10" s="497"/>
      <c r="E10" s="492"/>
      <c r="F10" s="498">
        <f>+'3. VR A PAGAR'!E25</f>
        <v>100850000</v>
      </c>
      <c r="G10" s="500"/>
      <c r="H10" s="501"/>
      <c r="I10" s="491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</row>
    <row r="11" spans="1:22" x14ac:dyDescent="0.2">
      <c r="A11" s="490"/>
      <c r="B11" s="502" t="s">
        <v>571</v>
      </c>
      <c r="C11" s="491" t="s">
        <v>581</v>
      </c>
      <c r="D11" s="497"/>
      <c r="E11" s="492"/>
      <c r="F11" s="498">
        <f>+'3. VR A PAGAR'!C22</f>
        <v>16048000</v>
      </c>
      <c r="G11" s="500"/>
      <c r="H11" s="501"/>
      <c r="I11" s="491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8"/>
    </row>
    <row r="12" spans="1:22" x14ac:dyDescent="0.2">
      <c r="A12" s="490"/>
      <c r="B12" s="503" t="s">
        <v>573</v>
      </c>
      <c r="C12" s="491" t="s">
        <v>582</v>
      </c>
      <c r="D12" s="497"/>
      <c r="E12" s="492"/>
      <c r="F12" s="504">
        <v>0</v>
      </c>
      <c r="G12" s="500"/>
      <c r="H12" s="501"/>
      <c r="I12" s="491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</row>
    <row r="13" spans="1:22" x14ac:dyDescent="0.2">
      <c r="A13" s="490"/>
      <c r="B13" s="496"/>
      <c r="C13" s="491"/>
      <c r="D13" s="497"/>
      <c r="E13" s="498"/>
      <c r="F13" s="498"/>
      <c r="G13" s="500"/>
      <c r="H13" s="501"/>
      <c r="I13" s="491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</row>
    <row r="14" spans="1:22" x14ac:dyDescent="0.2">
      <c r="A14" s="490"/>
      <c r="B14" s="560" t="s">
        <v>585</v>
      </c>
      <c r="C14" s="561"/>
      <c r="D14" s="562"/>
      <c r="E14" s="505"/>
      <c r="F14" s="506">
        <f>SUM(F9:F13)</f>
        <v>116898000</v>
      </c>
      <c r="G14" s="500"/>
      <c r="H14" s="501"/>
      <c r="I14" s="491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</row>
    <row r="15" spans="1:22" x14ac:dyDescent="0.2">
      <c r="A15" s="490"/>
      <c r="B15" s="507"/>
      <c r="C15" s="508"/>
      <c r="D15" s="509"/>
      <c r="E15" s="504"/>
      <c r="F15" s="504"/>
      <c r="G15" s="500"/>
      <c r="H15" s="501"/>
      <c r="I15" s="491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</row>
    <row r="16" spans="1:22" x14ac:dyDescent="0.2">
      <c r="A16" s="490"/>
      <c r="B16" s="496"/>
      <c r="C16" s="491"/>
      <c r="D16" s="497"/>
      <c r="E16" s="498"/>
      <c r="F16" s="498"/>
      <c r="G16" s="500"/>
      <c r="H16" s="501"/>
      <c r="I16" s="491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</row>
    <row r="17" spans="1:22" x14ac:dyDescent="0.2">
      <c r="A17" s="490"/>
      <c r="B17" s="563" t="s">
        <v>589</v>
      </c>
      <c r="C17" s="564"/>
      <c r="D17" s="565"/>
      <c r="E17" s="492"/>
      <c r="F17" s="498"/>
      <c r="G17" s="500"/>
      <c r="H17" s="501"/>
      <c r="I17" s="491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spans="1:22" x14ac:dyDescent="0.2">
      <c r="A18" s="490"/>
      <c r="B18" s="496"/>
      <c r="C18" s="491"/>
      <c r="D18" s="497"/>
      <c r="E18" s="498"/>
      <c r="F18" s="498"/>
      <c r="G18" s="500"/>
      <c r="H18" s="501"/>
      <c r="I18" s="491"/>
      <c r="J18" s="488"/>
      <c r="K18" s="488"/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</row>
    <row r="19" spans="1:22" x14ac:dyDescent="0.2">
      <c r="A19" s="490"/>
      <c r="B19" s="496"/>
      <c r="C19" s="492" t="s">
        <v>569</v>
      </c>
      <c r="D19" s="510"/>
      <c r="E19" s="492"/>
      <c r="F19" s="499">
        <f>+CONCIRENTA!G9</f>
        <v>854828842.61643839</v>
      </c>
      <c r="G19" s="500"/>
      <c r="H19" s="501"/>
      <c r="I19" s="491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</row>
    <row r="20" spans="1:22" x14ac:dyDescent="0.2">
      <c r="A20" s="490"/>
      <c r="B20" s="496"/>
      <c r="C20" s="492"/>
      <c r="D20" s="510"/>
      <c r="E20" s="492"/>
      <c r="F20" s="499"/>
      <c r="G20" s="500"/>
      <c r="H20" s="501"/>
      <c r="I20" s="491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</row>
    <row r="21" spans="1:22" x14ac:dyDescent="0.2">
      <c r="A21" s="490"/>
      <c r="B21" s="503" t="s">
        <v>571</v>
      </c>
      <c r="C21" s="491" t="s">
        <v>572</v>
      </c>
      <c r="D21" s="497"/>
      <c r="E21" s="492"/>
      <c r="F21" s="499">
        <f>+CONCIRENTA!E38</f>
        <v>317930650.09809661</v>
      </c>
      <c r="G21" s="500"/>
      <c r="H21" s="501"/>
      <c r="I21" s="491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</row>
    <row r="22" spans="1:22" x14ac:dyDescent="0.2">
      <c r="A22" s="490"/>
      <c r="B22" s="503" t="s">
        <v>573</v>
      </c>
      <c r="C22" s="491" t="s">
        <v>583</v>
      </c>
      <c r="D22" s="497"/>
      <c r="E22" s="492"/>
      <c r="F22" s="499">
        <f>-'2. RENTA FISCAL'!B26</f>
        <v>-34560000</v>
      </c>
      <c r="G22" s="500"/>
      <c r="H22" s="501"/>
      <c r="I22" s="491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</row>
    <row r="23" spans="1:22" x14ac:dyDescent="0.2">
      <c r="A23" s="490"/>
      <c r="B23" s="503" t="s">
        <v>573</v>
      </c>
      <c r="C23" s="491" t="s">
        <v>574</v>
      </c>
      <c r="D23" s="497"/>
      <c r="E23" s="492"/>
      <c r="F23" s="499">
        <f>-'2. RENTA FISCAL'!B32</f>
        <v>-29158000</v>
      </c>
      <c r="G23" s="500"/>
      <c r="H23" s="501"/>
      <c r="I23" s="491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8"/>
    </row>
    <row r="24" spans="1:22" x14ac:dyDescent="0.2">
      <c r="A24" s="490"/>
      <c r="B24" s="503"/>
      <c r="C24" s="491"/>
      <c r="D24" s="497"/>
      <c r="E24" s="492"/>
      <c r="F24" s="499"/>
      <c r="G24" s="500"/>
      <c r="H24" s="501"/>
      <c r="I24" s="491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</row>
    <row r="25" spans="1:22" x14ac:dyDescent="0.2">
      <c r="A25" s="490"/>
      <c r="B25" s="503" t="s">
        <v>573</v>
      </c>
      <c r="C25" s="491" t="s">
        <v>584</v>
      </c>
      <c r="D25" s="497"/>
      <c r="E25" s="492"/>
      <c r="F25" s="499">
        <f>SUM(E26:E28)</f>
        <v>-189550000</v>
      </c>
      <c r="G25" s="500"/>
      <c r="H25" s="501"/>
      <c r="I25" s="491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</row>
    <row r="26" spans="1:22" x14ac:dyDescent="0.2">
      <c r="A26" s="490"/>
      <c r="B26" s="503"/>
      <c r="C26" s="491"/>
      <c r="D26" s="497" t="s">
        <v>586</v>
      </c>
      <c r="E26" s="499">
        <f>-'6. INVERSIONES'!E43</f>
        <v>-2550000</v>
      </c>
      <c r="F26" s="499"/>
      <c r="G26" s="500"/>
      <c r="H26" s="501"/>
      <c r="I26" s="491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</row>
    <row r="27" spans="1:22" x14ac:dyDescent="0.2">
      <c r="A27" s="490"/>
      <c r="B27" s="503"/>
      <c r="C27" s="491"/>
      <c r="D27" s="497" t="s">
        <v>587</v>
      </c>
      <c r="E27" s="511">
        <f>-'9. VTA ACT FIJOS'!E13</f>
        <v>-187000000</v>
      </c>
      <c r="F27" s="499"/>
      <c r="G27" s="500"/>
      <c r="H27" s="501"/>
      <c r="I27" s="491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8"/>
    </row>
    <row r="28" spans="1:22" x14ac:dyDescent="0.2">
      <c r="A28" s="490"/>
      <c r="B28" s="503"/>
      <c r="C28" s="491"/>
      <c r="D28" s="497"/>
      <c r="E28" s="492"/>
      <c r="F28" s="499"/>
      <c r="G28" s="500"/>
      <c r="H28" s="501"/>
      <c r="I28" s="491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</row>
    <row r="29" spans="1:22" x14ac:dyDescent="0.2">
      <c r="A29" s="490"/>
      <c r="B29" s="503" t="s">
        <v>573</v>
      </c>
      <c r="C29" s="491" t="s">
        <v>591</v>
      </c>
      <c r="D29" s="497"/>
      <c r="E29" s="499"/>
      <c r="F29" s="499">
        <f>SUM(E30:E32)</f>
        <v>-214330000</v>
      </c>
      <c r="G29" s="500"/>
      <c r="H29" s="501"/>
      <c r="I29" s="491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</row>
    <row r="30" spans="1:22" x14ac:dyDescent="0.2">
      <c r="A30" s="490"/>
      <c r="B30" s="503"/>
      <c r="C30" s="491"/>
      <c r="D30" s="491" t="s">
        <v>590</v>
      </c>
      <c r="E30" s="499">
        <f>-'2. RENTA FISCAL'!G117</f>
        <v>-128000000</v>
      </c>
      <c r="F30" s="499"/>
      <c r="G30" s="500"/>
      <c r="H30" s="501"/>
      <c r="I30" s="491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</row>
    <row r="31" spans="1:22" x14ac:dyDescent="0.2">
      <c r="A31" s="490"/>
      <c r="B31" s="503"/>
      <c r="C31" s="491"/>
      <c r="D31" s="491" t="s">
        <v>592</v>
      </c>
      <c r="E31" s="511">
        <f>-'2. RENTA FISCAL'!G118</f>
        <v>-86330000</v>
      </c>
      <c r="F31" s="511"/>
      <c r="G31" s="500"/>
      <c r="H31" s="501"/>
      <c r="I31" s="491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</row>
    <row r="32" spans="1:22" x14ac:dyDescent="0.2">
      <c r="A32" s="490"/>
      <c r="B32" s="496"/>
      <c r="C32" s="491"/>
      <c r="D32" s="497"/>
      <c r="E32" s="498"/>
      <c r="F32" s="498"/>
      <c r="G32" s="500"/>
      <c r="H32" s="501"/>
      <c r="I32" s="491"/>
      <c r="J32" s="488"/>
      <c r="K32" s="488"/>
      <c r="L32" s="488"/>
      <c r="M32" s="488"/>
      <c r="N32" s="488"/>
      <c r="O32" s="488"/>
      <c r="P32" s="488"/>
      <c r="Q32" s="488"/>
      <c r="R32" s="488"/>
      <c r="S32" s="488"/>
      <c r="T32" s="488"/>
      <c r="U32" s="488"/>
      <c r="V32" s="488"/>
    </row>
    <row r="33" spans="1:22" x14ac:dyDescent="0.2">
      <c r="A33" s="490"/>
      <c r="B33" s="569" t="s">
        <v>570</v>
      </c>
      <c r="C33" s="570"/>
      <c r="D33" s="571"/>
      <c r="E33" s="505"/>
      <c r="F33" s="512">
        <f>SUM(F19:F32)</f>
        <v>705161492.714535</v>
      </c>
      <c r="G33" s="500"/>
      <c r="H33" s="501"/>
      <c r="I33" s="491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</row>
    <row r="34" spans="1:22" x14ac:dyDescent="0.2">
      <c r="A34" s="490"/>
      <c r="B34" s="507"/>
      <c r="C34" s="508"/>
      <c r="D34" s="509"/>
      <c r="E34" s="508"/>
      <c r="F34" s="504"/>
      <c r="G34" s="500"/>
      <c r="H34" s="501"/>
      <c r="I34" s="491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</row>
    <row r="35" spans="1:22" x14ac:dyDescent="0.2">
      <c r="A35" s="490"/>
      <c r="B35" s="496"/>
      <c r="C35" s="491"/>
      <c r="D35" s="497"/>
      <c r="E35" s="491"/>
      <c r="F35" s="498"/>
      <c r="G35" s="500"/>
      <c r="H35" s="501"/>
      <c r="I35" s="491"/>
      <c r="J35" s="488"/>
      <c r="K35" s="488"/>
      <c r="L35" s="488"/>
      <c r="M35" s="488"/>
      <c r="N35" s="488"/>
      <c r="O35" s="488"/>
      <c r="P35" s="488"/>
      <c r="Q35" s="488"/>
      <c r="R35" s="488"/>
      <c r="S35" s="488"/>
      <c r="T35" s="488"/>
      <c r="U35" s="488"/>
      <c r="V35" s="488"/>
    </row>
    <row r="36" spans="1:22" x14ac:dyDescent="0.2">
      <c r="A36" s="490"/>
      <c r="B36" s="563" t="s">
        <v>598</v>
      </c>
      <c r="C36" s="564"/>
      <c r="D36" s="565"/>
      <c r="E36" s="491"/>
      <c r="F36" s="498"/>
      <c r="G36" s="500"/>
      <c r="H36" s="501"/>
      <c r="I36" s="491"/>
      <c r="J36" s="488"/>
      <c r="K36" s="488"/>
      <c r="L36" s="488"/>
      <c r="M36" s="488"/>
      <c r="N36" s="488"/>
      <c r="O36" s="488"/>
      <c r="P36" s="488"/>
      <c r="Q36" s="488"/>
      <c r="R36" s="488"/>
      <c r="S36" s="488"/>
      <c r="T36" s="488"/>
      <c r="U36" s="488"/>
      <c r="V36" s="488"/>
    </row>
    <row r="37" spans="1:22" x14ac:dyDescent="0.2">
      <c r="A37" s="490"/>
      <c r="B37" s="496"/>
      <c r="C37" s="491"/>
      <c r="D37" s="497"/>
      <c r="E37" s="491"/>
      <c r="F37" s="498"/>
      <c r="G37" s="500"/>
      <c r="H37" s="501"/>
      <c r="I37" s="491"/>
      <c r="J37" s="488"/>
      <c r="K37" s="488"/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</row>
    <row r="38" spans="1:22" x14ac:dyDescent="0.2">
      <c r="A38" s="490"/>
      <c r="B38" s="496"/>
      <c r="C38" s="572" t="s">
        <v>575</v>
      </c>
      <c r="D38" s="513" t="s">
        <v>576</v>
      </c>
      <c r="E38" s="492"/>
      <c r="F38" s="511">
        <f>+F14</f>
        <v>116898000</v>
      </c>
      <c r="G38" s="573" t="s">
        <v>577</v>
      </c>
      <c r="H38" s="559">
        <f>+F38/F39</f>
        <v>0.16577479231033806</v>
      </c>
      <c r="I38" s="491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488"/>
      <c r="U38" s="488"/>
      <c r="V38" s="488"/>
    </row>
    <row r="39" spans="1:22" x14ac:dyDescent="0.2">
      <c r="A39" s="490"/>
      <c r="B39" s="496"/>
      <c r="C39" s="572"/>
      <c r="D39" s="510" t="s">
        <v>578</v>
      </c>
      <c r="E39" s="492"/>
      <c r="F39" s="499">
        <f>+F33</f>
        <v>705161492.714535</v>
      </c>
      <c r="G39" s="573"/>
      <c r="H39" s="559"/>
      <c r="I39" s="491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</row>
    <row r="40" spans="1:22" x14ac:dyDescent="0.2">
      <c r="A40" s="490"/>
      <c r="B40" s="514"/>
      <c r="C40" s="490"/>
      <c r="D40" s="515"/>
      <c r="E40" s="498"/>
      <c r="F40" s="498"/>
      <c r="G40" s="516"/>
      <c r="H40" s="501"/>
      <c r="I40" s="491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</row>
    <row r="41" spans="1:22" x14ac:dyDescent="0.2">
      <c r="A41" s="490"/>
      <c r="B41" s="517" t="s">
        <v>579</v>
      </c>
      <c r="C41" s="518"/>
      <c r="D41" s="519"/>
      <c r="E41" s="520"/>
      <c r="F41" s="505">
        <v>0</v>
      </c>
      <c r="G41" s="516"/>
      <c r="H41" s="501"/>
      <c r="I41" s="491"/>
      <c r="J41" s="488"/>
      <c r="K41" s="488"/>
      <c r="L41" s="488"/>
      <c r="M41" s="488"/>
      <c r="N41" s="488"/>
      <c r="O41" s="488"/>
      <c r="P41" s="488"/>
      <c r="Q41" s="488"/>
      <c r="R41" s="488"/>
      <c r="S41" s="488"/>
      <c r="T41" s="488"/>
      <c r="U41" s="488"/>
      <c r="V41" s="488"/>
    </row>
    <row r="42" spans="1:22" ht="10.5" customHeight="1" x14ac:dyDescent="0.2">
      <c r="A42" s="490"/>
      <c r="B42" s="507"/>
      <c r="C42" s="508"/>
      <c r="D42" s="509"/>
      <c r="E42" s="504"/>
      <c r="F42" s="504"/>
      <c r="G42" s="521"/>
      <c r="H42" s="522"/>
      <c r="I42" s="491"/>
      <c r="J42" s="488"/>
      <c r="K42" s="488"/>
      <c r="L42" s="488"/>
      <c r="M42" s="488"/>
      <c r="N42" s="488"/>
      <c r="O42" s="488"/>
      <c r="P42" s="488"/>
      <c r="Q42" s="488"/>
      <c r="R42" s="488"/>
      <c r="S42" s="488"/>
      <c r="T42" s="488"/>
      <c r="U42" s="488"/>
      <c r="V42" s="488"/>
    </row>
    <row r="43" spans="1:22" ht="10.5" customHeight="1" x14ac:dyDescent="0.2">
      <c r="A43" s="490"/>
      <c r="B43" s="492"/>
      <c r="C43" s="491"/>
      <c r="D43" s="491"/>
      <c r="E43" s="491"/>
      <c r="F43" s="491"/>
      <c r="G43" s="491"/>
      <c r="H43" s="491"/>
      <c r="I43" s="491"/>
      <c r="J43" s="488"/>
      <c r="K43" s="488"/>
      <c r="L43" s="488"/>
      <c r="M43" s="488"/>
      <c r="N43" s="488"/>
      <c r="O43" s="488"/>
      <c r="P43" s="488"/>
      <c r="Q43" s="488"/>
      <c r="R43" s="488"/>
      <c r="S43" s="488"/>
      <c r="T43" s="488"/>
      <c r="U43" s="488"/>
    </row>
    <row r="44" spans="1:22" x14ac:dyDescent="0.2">
      <c r="A44" s="490"/>
      <c r="B44" s="492"/>
      <c r="C44" s="492"/>
      <c r="D44" s="492"/>
      <c r="E44" s="492"/>
      <c r="F44" s="492"/>
      <c r="G44" s="492"/>
      <c r="H44" s="492"/>
      <c r="I44" s="492"/>
    </row>
    <row r="45" spans="1:22" ht="12.75" x14ac:dyDescent="0.2">
      <c r="A45" s="490"/>
      <c r="B45" s="54" t="str">
        <f>+B1</f>
        <v>EL EXPERTO S.A.S.</v>
      </c>
      <c r="C45" s="492"/>
      <c r="D45"/>
      <c r="E45"/>
      <c r="F45"/>
      <c r="G45" s="492"/>
      <c r="H45" s="492"/>
      <c r="I45" s="492"/>
    </row>
    <row r="46" spans="1:22" ht="12.75" x14ac:dyDescent="0.2">
      <c r="A46" s="490"/>
      <c r="B46" s="54" t="str">
        <f>+B2</f>
        <v>NIT 890.378.233 - 1</v>
      </c>
      <c r="C46" s="492"/>
      <c r="D46"/>
      <c r="E46" s="37"/>
      <c r="F46" s="37"/>
      <c r="G46" s="492"/>
      <c r="H46" s="492"/>
      <c r="I46" s="492"/>
    </row>
    <row r="47" spans="1:22" ht="12.75" x14ac:dyDescent="0.2">
      <c r="A47" s="490"/>
      <c r="B47" s="54" t="str">
        <f>+B3</f>
        <v>DECLARACION DE RENTA AÑO GRAVABLE 2024</v>
      </c>
      <c r="C47" s="492"/>
      <c r="D47"/>
      <c r="E47" s="37"/>
      <c r="F47" s="59" t="s">
        <v>599</v>
      </c>
      <c r="G47" s="492"/>
      <c r="H47" s="492"/>
      <c r="I47" s="492"/>
    </row>
    <row r="48" spans="1:22" ht="12.75" x14ac:dyDescent="0.2">
      <c r="A48" s="490"/>
      <c r="B48" s="523" t="s">
        <v>219</v>
      </c>
      <c r="C48" s="492"/>
      <c r="D48"/>
      <c r="E48" s="37"/>
      <c r="F48" s="37"/>
      <c r="G48" s="492"/>
      <c r="H48" s="492"/>
      <c r="I48" s="492"/>
    </row>
    <row r="49" spans="1:9" ht="13.5" thickBot="1" x14ac:dyDescent="0.25">
      <c r="A49" s="490"/>
      <c r="B49" s="492"/>
      <c r="C49" s="61"/>
      <c r="D49"/>
      <c r="E49"/>
      <c r="F49"/>
      <c r="G49" s="492"/>
      <c r="H49" s="492"/>
      <c r="I49" s="492"/>
    </row>
    <row r="50" spans="1:9" x14ac:dyDescent="0.2">
      <c r="A50" s="490"/>
      <c r="B50" s="492"/>
      <c r="C50" s="524"/>
      <c r="D50" s="525"/>
      <c r="E50" s="526" t="s">
        <v>50</v>
      </c>
      <c r="F50" s="527"/>
      <c r="G50" s="492"/>
      <c r="H50" s="492"/>
      <c r="I50" s="492"/>
    </row>
    <row r="51" spans="1:9" x14ac:dyDescent="0.2">
      <c r="A51" s="490"/>
      <c r="B51" s="492"/>
      <c r="C51" s="528"/>
      <c r="D51" s="529"/>
      <c r="E51" s="530" t="s">
        <v>264</v>
      </c>
      <c r="F51" s="531" t="s">
        <v>189</v>
      </c>
      <c r="G51" s="492"/>
      <c r="H51" s="492"/>
      <c r="I51" s="492"/>
    </row>
    <row r="52" spans="1:9" x14ac:dyDescent="0.2">
      <c r="A52" s="490"/>
      <c r="B52" s="492"/>
      <c r="C52" s="532"/>
      <c r="D52" s="533"/>
      <c r="E52" s="534"/>
      <c r="F52" s="535"/>
      <c r="G52" s="492"/>
      <c r="H52" s="492"/>
      <c r="I52" s="492"/>
    </row>
    <row r="53" spans="1:9" x14ac:dyDescent="0.2">
      <c r="A53" s="490"/>
      <c r="B53" s="492"/>
      <c r="C53" s="532" t="s">
        <v>346</v>
      </c>
      <c r="D53" s="536"/>
      <c r="E53" s="534">
        <f>+'3. VR A PAGAR'!E25</f>
        <v>100850000</v>
      </c>
      <c r="F53" s="535">
        <f>+E53</f>
        <v>100850000</v>
      </c>
      <c r="G53" s="492"/>
      <c r="H53" s="492"/>
      <c r="I53" s="492"/>
    </row>
    <row r="54" spans="1:9" x14ac:dyDescent="0.2">
      <c r="A54" s="490"/>
      <c r="B54" s="492"/>
      <c r="C54" s="532" t="s">
        <v>347</v>
      </c>
      <c r="D54" s="536"/>
      <c r="E54" s="537"/>
      <c r="F54" s="538">
        <v>79300000</v>
      </c>
      <c r="G54" s="492"/>
      <c r="H54" s="492"/>
      <c r="I54" s="492"/>
    </row>
    <row r="55" spans="1:9" x14ac:dyDescent="0.2">
      <c r="A55" s="490"/>
      <c r="B55" s="492"/>
      <c r="C55" s="532" t="s">
        <v>189</v>
      </c>
      <c r="D55" s="533"/>
      <c r="E55" s="534">
        <f>+E53</f>
        <v>100850000</v>
      </c>
      <c r="F55" s="535">
        <f>(F53+F54)/2</f>
        <v>90075000</v>
      </c>
      <c r="G55" s="492"/>
      <c r="H55" s="492"/>
      <c r="I55" s="492"/>
    </row>
    <row r="56" spans="1:9" x14ac:dyDescent="0.2">
      <c r="A56" s="490"/>
      <c r="B56" s="492"/>
      <c r="C56" s="532"/>
      <c r="D56" s="536"/>
      <c r="E56" s="534"/>
      <c r="F56" s="535"/>
      <c r="G56" s="492"/>
      <c r="H56" s="492"/>
      <c r="I56" s="492"/>
    </row>
    <row r="57" spans="1:9" x14ac:dyDescent="0.2">
      <c r="A57" s="490"/>
      <c r="B57" s="492"/>
      <c r="C57" s="532" t="s">
        <v>190</v>
      </c>
      <c r="D57" s="536"/>
      <c r="E57" s="534">
        <f>+E55*75%</f>
        <v>75637500</v>
      </c>
      <c r="F57" s="535">
        <f>+F55*75%</f>
        <v>67556250</v>
      </c>
      <c r="G57" s="492"/>
      <c r="H57" s="492"/>
      <c r="I57" s="492"/>
    </row>
    <row r="58" spans="1:9" x14ac:dyDescent="0.2">
      <c r="A58" s="490"/>
      <c r="B58" s="492"/>
      <c r="C58" s="532" t="s">
        <v>191</v>
      </c>
      <c r="D58" s="536"/>
      <c r="E58" s="537">
        <f>-'3. VR A PAGAR'!E40</f>
        <v>-89584000</v>
      </c>
      <c r="F58" s="538">
        <f>+E58</f>
        <v>-89584000</v>
      </c>
      <c r="G58" s="492"/>
      <c r="H58" s="492"/>
      <c r="I58" s="492"/>
    </row>
    <row r="59" spans="1:9" x14ac:dyDescent="0.2">
      <c r="A59" s="490"/>
      <c r="B59" s="492"/>
      <c r="C59" s="532"/>
      <c r="D59" s="536"/>
      <c r="E59" s="534"/>
      <c r="F59" s="535"/>
      <c r="G59" s="492"/>
      <c r="H59" s="492"/>
      <c r="I59" s="492"/>
    </row>
    <row r="60" spans="1:9" ht="12.75" thickBot="1" x14ac:dyDescent="0.25">
      <c r="A60" s="490"/>
      <c r="B60" s="492"/>
      <c r="C60" s="539" t="s">
        <v>192</v>
      </c>
      <c r="D60" s="536"/>
      <c r="E60" s="540">
        <f>IF((E57+E58)&gt;0,E57+E58,0)</f>
        <v>0</v>
      </c>
      <c r="F60" s="541">
        <f>IF((F57+F58)&gt;0,F57+F58,0)</f>
        <v>0</v>
      </c>
      <c r="G60" s="492"/>
      <c r="H60" s="492"/>
      <c r="I60" s="492"/>
    </row>
    <row r="61" spans="1:9" ht="12.75" thickTop="1" x14ac:dyDescent="0.2">
      <c r="A61" s="490"/>
      <c r="B61" s="492"/>
      <c r="C61" s="539"/>
      <c r="D61" s="536"/>
      <c r="E61" s="542"/>
      <c r="F61" s="543"/>
      <c r="G61" s="492"/>
      <c r="H61" s="492"/>
      <c r="I61" s="492"/>
    </row>
    <row r="62" spans="1:9" ht="12.75" thickBot="1" x14ac:dyDescent="0.25">
      <c r="A62" s="490"/>
      <c r="B62" s="492"/>
      <c r="C62" s="539" t="s">
        <v>281</v>
      </c>
      <c r="D62" s="536"/>
      <c r="E62" s="540"/>
      <c r="F62" s="541">
        <f>ROUND(IF(F60&lt;E60,F60,E60),-3)</f>
        <v>0</v>
      </c>
      <c r="G62" s="492"/>
      <c r="H62" s="492"/>
      <c r="I62" s="492"/>
    </row>
    <row r="63" spans="1:9" ht="13.5" thickTop="1" thickBot="1" x14ac:dyDescent="0.25">
      <c r="A63" s="490"/>
      <c r="B63" s="492"/>
      <c r="C63" s="544"/>
      <c r="D63" s="545"/>
      <c r="E63" s="546"/>
      <c r="F63" s="547"/>
      <c r="G63" s="492"/>
      <c r="H63" s="492"/>
      <c r="I63" s="492"/>
    </row>
    <row r="64" spans="1:9" x14ac:dyDescent="0.2">
      <c r="A64" s="490"/>
      <c r="B64" s="492"/>
      <c r="C64" s="492"/>
      <c r="D64" s="492"/>
      <c r="E64" s="492"/>
      <c r="F64" s="492"/>
      <c r="G64" s="492"/>
      <c r="H64" s="492"/>
      <c r="I64" s="492"/>
    </row>
  </sheetData>
  <sheetProtection algorithmName="SHA-512" hashValue="IzEu8wEFfULTVUbKB0kn5iUOw1Dd7QLogGISoPDd2zvndUNVfut2DlVXQE+qSRKRSFA17wBt2Cf0E1yBue0cog==" saltValue="MQLygo/rZsgEDrYlhDNrLA==" spinCount="100000" sheet="1" objects="1" scenarios="1"/>
  <mergeCells count="9">
    <mergeCell ref="H38:H39"/>
    <mergeCell ref="B14:D14"/>
    <mergeCell ref="B17:D17"/>
    <mergeCell ref="B36:D36"/>
    <mergeCell ref="B6:D6"/>
    <mergeCell ref="B8:D8"/>
    <mergeCell ref="B33:D33"/>
    <mergeCell ref="C38:C39"/>
    <mergeCell ref="G38:G39"/>
  </mergeCells>
  <pageMargins left="0.78740157480314965" right="0.70866141732283472" top="0.59055118110236227" bottom="0.59055118110236227" header="0.31496062992125984" footer="0.31496062992125984"/>
  <pageSetup scale="95" orientation="portrait" r:id="rId1"/>
  <ignoredErrors>
    <ignoredError sqref="C46:F46 B58:F66 B48:F53 C47:E47 B1:B3 C45:F45 B45:B47 B55:F57 B54:E54 E1:H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8"/>
  <sheetViews>
    <sheetView topLeftCell="A3" zoomScale="120" zoomScaleNormal="120" workbookViewId="0">
      <pane xSplit="1" ySplit="6" topLeftCell="B9" activePane="bottomRight" state="frozen"/>
      <selection activeCell="A3" sqref="A3"/>
      <selection pane="topRight" activeCell="B3" sqref="B3"/>
      <selection pane="bottomLeft" activeCell="A9" sqref="A9"/>
      <selection pane="bottomRight" activeCell="G3" sqref="G3"/>
    </sheetView>
  </sheetViews>
  <sheetFormatPr baseColWidth="10" defaultRowHeight="12" x14ac:dyDescent="0.2"/>
  <cols>
    <col min="1" max="1" width="38" style="5" customWidth="1"/>
    <col min="2" max="2" width="13.85546875" style="5" customWidth="1"/>
    <col min="3" max="3" width="1.7109375" style="5" customWidth="1"/>
    <col min="4" max="4" width="12.42578125" style="5" customWidth="1"/>
    <col min="5" max="5" width="13.140625" style="5" customWidth="1"/>
    <col min="6" max="6" width="1.7109375" style="5" customWidth="1"/>
    <col min="7" max="7" width="13.7109375" style="5" customWidth="1"/>
    <col min="8" max="8" width="1.7109375" style="5" customWidth="1"/>
    <col min="9" max="9" width="8.85546875" style="8" bestFit="1" customWidth="1"/>
    <col min="10" max="16384" width="11.42578125" style="5"/>
  </cols>
  <sheetData>
    <row r="1" spans="1:9" x14ac:dyDescent="0.2">
      <c r="A1" s="54" t="str">
        <f>+ANEXOS!B1</f>
        <v>EL EXPERTO S.A.S.</v>
      </c>
      <c r="B1" s="55"/>
      <c r="C1" s="56"/>
      <c r="D1" s="56"/>
      <c r="E1" s="56"/>
      <c r="F1" s="56"/>
      <c r="G1" s="56"/>
      <c r="H1" s="56"/>
      <c r="I1" s="57"/>
    </row>
    <row r="2" spans="1:9" x14ac:dyDescent="0.2">
      <c r="A2" s="58" t="str">
        <f>+ANEXOS!B2</f>
        <v>NIT 890.378.233 - 1</v>
      </c>
      <c r="B2" s="55"/>
      <c r="C2" s="56"/>
      <c r="D2" s="56"/>
      <c r="E2" s="56"/>
      <c r="F2" s="56"/>
      <c r="G2" s="56"/>
      <c r="H2" s="56"/>
      <c r="I2" s="57"/>
    </row>
    <row r="3" spans="1:9" x14ac:dyDescent="0.2">
      <c r="A3" s="58" t="str">
        <f>+ANEXOS!B3</f>
        <v>DECLARACION DE RENTA AÑO GRAVABLE 2024</v>
      </c>
      <c r="B3" s="55"/>
      <c r="C3" s="56"/>
      <c r="D3" s="56"/>
      <c r="E3" s="56"/>
      <c r="F3" s="56"/>
      <c r="G3" s="59" t="s">
        <v>0</v>
      </c>
      <c r="H3" s="56"/>
      <c r="I3" s="57"/>
    </row>
    <row r="4" spans="1:9" x14ac:dyDescent="0.2">
      <c r="A4" s="54" t="s">
        <v>293</v>
      </c>
      <c r="B4" s="60"/>
      <c r="C4" s="56"/>
      <c r="D4" s="56"/>
      <c r="E4" s="56"/>
      <c r="F4" s="56"/>
      <c r="G4" s="56"/>
      <c r="H4" s="56"/>
      <c r="I4" s="57"/>
    </row>
    <row r="5" spans="1:9" x14ac:dyDescent="0.2">
      <c r="A5" s="61"/>
      <c r="B5" s="60"/>
      <c r="C5" s="56"/>
      <c r="D5" s="56"/>
      <c r="E5" s="56"/>
      <c r="F5" s="56"/>
      <c r="G5" s="56"/>
      <c r="H5" s="56"/>
      <c r="I5" s="57"/>
    </row>
    <row r="6" spans="1:9" x14ac:dyDescent="0.2">
      <c r="A6" s="61"/>
      <c r="B6" s="62" t="s">
        <v>1</v>
      </c>
      <c r="C6" s="58"/>
      <c r="D6" s="63" t="s">
        <v>2</v>
      </c>
      <c r="E6" s="64"/>
      <c r="F6" s="56"/>
      <c r="G6" s="65" t="s">
        <v>3</v>
      </c>
      <c r="H6" s="56"/>
      <c r="I6" s="66"/>
    </row>
    <row r="7" spans="1:9" x14ac:dyDescent="0.2">
      <c r="A7" s="61"/>
      <c r="B7" s="67" t="s">
        <v>4</v>
      </c>
      <c r="C7" s="58"/>
      <c r="D7" s="68" t="s">
        <v>5</v>
      </c>
      <c r="E7" s="69"/>
      <c r="F7" s="56"/>
      <c r="G7" s="70" t="s">
        <v>184</v>
      </c>
      <c r="H7" s="56"/>
      <c r="I7" s="70" t="s">
        <v>115</v>
      </c>
    </row>
    <row r="8" spans="1:9" x14ac:dyDescent="0.2">
      <c r="A8" s="61"/>
      <c r="B8" s="71" t="s">
        <v>604</v>
      </c>
      <c r="C8" s="58"/>
      <c r="D8" s="72" t="s">
        <v>7</v>
      </c>
      <c r="E8" s="73" t="s">
        <v>8</v>
      </c>
      <c r="F8" s="56"/>
      <c r="G8" s="71" t="str">
        <f>+B8</f>
        <v xml:space="preserve"> 31-12-24</v>
      </c>
      <c r="H8" s="56"/>
      <c r="I8" s="74" t="s">
        <v>116</v>
      </c>
    </row>
    <row r="9" spans="1:9" x14ac:dyDescent="0.2">
      <c r="A9" s="59" t="s">
        <v>9</v>
      </c>
      <c r="B9" s="56"/>
      <c r="C9" s="56"/>
      <c r="D9" s="56"/>
      <c r="E9" s="56"/>
      <c r="F9" s="56"/>
      <c r="G9" s="56"/>
      <c r="H9" s="56"/>
      <c r="I9" s="57"/>
    </row>
    <row r="10" spans="1:9" x14ac:dyDescent="0.2">
      <c r="A10" s="59"/>
      <c r="B10" s="56"/>
      <c r="C10" s="56"/>
      <c r="D10" s="56"/>
      <c r="E10" s="56"/>
      <c r="F10" s="56"/>
      <c r="G10" s="56"/>
      <c r="H10" s="56"/>
      <c r="I10" s="57"/>
    </row>
    <row r="11" spans="1:9" x14ac:dyDescent="0.2">
      <c r="A11" s="75" t="s">
        <v>283</v>
      </c>
      <c r="B11" s="56"/>
      <c r="C11" s="56"/>
      <c r="D11" s="56"/>
      <c r="E11" s="56"/>
      <c r="F11" s="56"/>
      <c r="G11" s="56"/>
      <c r="H11" s="56"/>
      <c r="I11" s="57"/>
    </row>
    <row r="12" spans="1:9" x14ac:dyDescent="0.2">
      <c r="A12" s="76" t="s">
        <v>634</v>
      </c>
      <c r="B12" s="77">
        <v>117223005.5</v>
      </c>
      <c r="C12" s="78"/>
      <c r="D12" s="79"/>
      <c r="E12" s="79"/>
      <c r="F12" s="78"/>
      <c r="G12" s="77">
        <f t="shared" ref="G12:G49" si="0">+B12+D12-E12</f>
        <v>117223005.5</v>
      </c>
      <c r="H12" s="56"/>
      <c r="I12" s="57">
        <v>36</v>
      </c>
    </row>
    <row r="13" spans="1:9" x14ac:dyDescent="0.2">
      <c r="A13" s="76"/>
      <c r="B13" s="79"/>
      <c r="C13" s="78"/>
      <c r="D13" s="79"/>
      <c r="E13" s="79"/>
      <c r="F13" s="78"/>
      <c r="G13" s="79"/>
      <c r="H13" s="56"/>
      <c r="I13" s="57"/>
    </row>
    <row r="14" spans="1:9" x14ac:dyDescent="0.2">
      <c r="A14" s="80" t="s">
        <v>416</v>
      </c>
      <c r="B14" s="79"/>
      <c r="C14" s="78"/>
      <c r="D14" s="79"/>
      <c r="E14" s="79"/>
      <c r="F14" s="78"/>
      <c r="G14" s="79"/>
      <c r="H14" s="56"/>
      <c r="I14" s="57"/>
    </row>
    <row r="15" spans="1:9" x14ac:dyDescent="0.2">
      <c r="A15" s="80"/>
      <c r="B15" s="79"/>
      <c r="C15" s="78"/>
      <c r="D15" s="79"/>
      <c r="E15" s="79"/>
      <c r="F15" s="78"/>
      <c r="G15" s="79"/>
      <c r="H15" s="56"/>
      <c r="I15" s="57"/>
    </row>
    <row r="16" spans="1:9" x14ac:dyDescent="0.2">
      <c r="A16" s="76" t="s">
        <v>326</v>
      </c>
      <c r="B16" s="77">
        <f>+'4. CDT - CxC'!H18</f>
        <v>454142449.99999994</v>
      </c>
      <c r="C16" s="78"/>
      <c r="D16" s="79">
        <f>+'4. CDT - CxC'!I18</f>
        <v>428178960</v>
      </c>
      <c r="E16" s="79">
        <f>+B16</f>
        <v>454142449.99999994</v>
      </c>
      <c r="F16" s="78"/>
      <c r="G16" s="77">
        <f>+B16+D16-E16</f>
        <v>428178960.00000006</v>
      </c>
      <c r="H16" s="56"/>
      <c r="I16" s="57">
        <f>+I12+1</f>
        <v>37</v>
      </c>
    </row>
    <row r="17" spans="1:9" x14ac:dyDescent="0.2">
      <c r="A17" s="76"/>
      <c r="B17" s="79"/>
      <c r="C17" s="78"/>
      <c r="D17" s="79"/>
      <c r="E17" s="79"/>
      <c r="F17" s="78"/>
      <c r="G17" s="79"/>
      <c r="H17" s="56"/>
      <c r="I17" s="57"/>
    </row>
    <row r="18" spans="1:9" x14ac:dyDescent="0.2">
      <c r="A18" s="80" t="s">
        <v>391</v>
      </c>
      <c r="B18" s="79"/>
      <c r="C18" s="81"/>
      <c r="D18" s="79"/>
      <c r="E18" s="79"/>
      <c r="F18" s="78"/>
      <c r="G18" s="79"/>
      <c r="H18" s="56"/>
      <c r="I18" s="57"/>
    </row>
    <row r="19" spans="1:9" x14ac:dyDescent="0.2">
      <c r="A19" s="76" t="s">
        <v>392</v>
      </c>
      <c r="B19" s="79">
        <f>+'6. INVERSIONES'!G16</f>
        <v>236925000</v>
      </c>
      <c r="C19" s="81"/>
      <c r="D19" s="79"/>
      <c r="E19" s="79">
        <f>'6. INVERSIONES'!G14+'6. INVERSIONES'!G15</f>
        <v>63075000</v>
      </c>
      <c r="F19" s="78"/>
      <c r="G19" s="79">
        <f>+B19+D19-E19</f>
        <v>173850000</v>
      </c>
      <c r="H19" s="56"/>
      <c r="I19" s="57"/>
    </row>
    <row r="20" spans="1:9" x14ac:dyDescent="0.2">
      <c r="A20" s="76" t="s">
        <v>318</v>
      </c>
      <c r="B20" s="79">
        <f>+'6. INVERSIONES'!G23</f>
        <v>48250000</v>
      </c>
      <c r="C20" s="81"/>
      <c r="D20" s="79">
        <f>+'6. INVERSIONES'!L23-'6. INVERSIONES'!G23</f>
        <v>5790207.3824020028</v>
      </c>
      <c r="E20" s="79"/>
      <c r="F20" s="78"/>
      <c r="G20" s="79">
        <f>+B20+D20-E20</f>
        <v>54040207.382402003</v>
      </c>
      <c r="H20" s="56"/>
      <c r="I20" s="57"/>
    </row>
    <row r="21" spans="1:9" x14ac:dyDescent="0.2">
      <c r="A21" s="76" t="s">
        <v>414</v>
      </c>
      <c r="B21" s="79">
        <f>+'6. INVERSIONES'!G30</f>
        <v>426933000</v>
      </c>
      <c r="C21" s="81"/>
      <c r="D21" s="79">
        <f>+'6. INVERSIONES'!J30</f>
        <v>0</v>
      </c>
      <c r="E21" s="79">
        <f>+'6. INVERSIONES'!G27+'6. INVERSIONES'!G28+'6. INVERSIONES'!G29</f>
        <v>146933000</v>
      </c>
      <c r="F21" s="78"/>
      <c r="G21" s="79">
        <f>+B21+D21-E21</f>
        <v>280000000</v>
      </c>
      <c r="H21" s="56"/>
      <c r="I21" s="57"/>
    </row>
    <row r="22" spans="1:9" x14ac:dyDescent="0.2">
      <c r="A22" s="76" t="s">
        <v>319</v>
      </c>
      <c r="B22" s="79">
        <v>0</v>
      </c>
      <c r="C22" s="81"/>
      <c r="D22" s="79"/>
      <c r="E22" s="79"/>
      <c r="F22" s="78"/>
      <c r="G22" s="79">
        <f>+B22+D22-E22</f>
        <v>0</v>
      </c>
      <c r="H22" s="56"/>
      <c r="I22" s="57"/>
    </row>
    <row r="23" spans="1:9" x14ac:dyDescent="0.2">
      <c r="A23" s="76" t="s">
        <v>295</v>
      </c>
      <c r="B23" s="79">
        <v>0</v>
      </c>
      <c r="C23" s="82"/>
      <c r="D23" s="79">
        <f>-B23</f>
        <v>0</v>
      </c>
      <c r="E23" s="79"/>
      <c r="F23" s="78"/>
      <c r="G23" s="79">
        <f>+B23+D23-E23</f>
        <v>0</v>
      </c>
      <c r="H23" s="56"/>
      <c r="I23" s="57"/>
    </row>
    <row r="24" spans="1:9" x14ac:dyDescent="0.2">
      <c r="A24" s="76"/>
      <c r="B24" s="83">
        <f>SUM(B19:B23)</f>
        <v>712108000</v>
      </c>
      <c r="C24" s="82"/>
      <c r="D24" s="79"/>
      <c r="E24" s="79"/>
      <c r="F24" s="78"/>
      <c r="G24" s="83">
        <f>SUM(G19:G23)</f>
        <v>507890207.382402</v>
      </c>
      <c r="H24" s="56"/>
      <c r="I24" s="57">
        <f>+I16</f>
        <v>37</v>
      </c>
    </row>
    <row r="25" spans="1:9" x14ac:dyDescent="0.2">
      <c r="A25" s="76" t="s">
        <v>393</v>
      </c>
      <c r="B25" s="83">
        <f>+B16+B24</f>
        <v>1166250450</v>
      </c>
      <c r="C25" s="78"/>
      <c r="D25" s="79"/>
      <c r="E25" s="79"/>
      <c r="F25" s="78"/>
      <c r="G25" s="83">
        <f>+G16+G24</f>
        <v>936069167.38240206</v>
      </c>
      <c r="H25" s="56"/>
      <c r="I25" s="57">
        <f>+I24</f>
        <v>37</v>
      </c>
    </row>
    <row r="26" spans="1:9" x14ac:dyDescent="0.2">
      <c r="A26" s="76"/>
      <c r="B26" s="79"/>
      <c r="C26" s="78"/>
      <c r="D26" s="79"/>
      <c r="E26" s="79"/>
      <c r="F26" s="78"/>
      <c r="G26" s="79"/>
      <c r="H26" s="56"/>
      <c r="I26" s="57"/>
    </row>
    <row r="27" spans="1:9" x14ac:dyDescent="0.2">
      <c r="A27" s="76"/>
      <c r="B27" s="79"/>
      <c r="C27" s="78"/>
      <c r="D27" s="79"/>
      <c r="E27" s="79"/>
      <c r="F27" s="78"/>
      <c r="G27" s="79"/>
      <c r="H27" s="56"/>
      <c r="I27" s="57"/>
    </row>
    <row r="28" spans="1:9" x14ac:dyDescent="0.2">
      <c r="A28" s="80" t="s">
        <v>185</v>
      </c>
      <c r="B28" s="79"/>
      <c r="C28" s="78"/>
      <c r="D28" s="79"/>
      <c r="E28" s="79"/>
      <c r="F28" s="78"/>
      <c r="G28" s="79"/>
      <c r="H28" s="56"/>
      <c r="I28" s="57"/>
    </row>
    <row r="29" spans="1:9" x14ac:dyDescent="0.2">
      <c r="A29" s="76" t="s">
        <v>298</v>
      </c>
      <c r="B29" s="79">
        <f>398034000-30550000</f>
        <v>367484000</v>
      </c>
      <c r="C29" s="78"/>
      <c r="D29" s="79"/>
      <c r="E29" s="79"/>
      <c r="F29" s="78"/>
      <c r="G29" s="79">
        <f t="shared" si="0"/>
        <v>367484000</v>
      </c>
      <c r="H29" s="56"/>
      <c r="I29" s="57"/>
    </row>
    <row r="30" spans="1:9" x14ac:dyDescent="0.2">
      <c r="A30" s="76" t="s">
        <v>299</v>
      </c>
      <c r="B30" s="79">
        <f>+'4. CDT - CxC'!H41</f>
        <v>794969745</v>
      </c>
      <c r="C30" s="78"/>
      <c r="D30" s="79"/>
      <c r="E30" s="79">
        <f>'4. CDT - CxC'!G41</f>
        <v>26564703.999999914</v>
      </c>
      <c r="F30" s="78"/>
      <c r="G30" s="79">
        <f t="shared" si="0"/>
        <v>768405041.00000012</v>
      </c>
      <c r="H30" s="56"/>
      <c r="I30" s="57"/>
    </row>
    <row r="31" spans="1:9" x14ac:dyDescent="0.2">
      <c r="A31" s="76" t="s">
        <v>148</v>
      </c>
      <c r="B31" s="79">
        <f>+'10. INGRESOS'!D37</f>
        <v>98000000</v>
      </c>
      <c r="C31" s="78"/>
      <c r="D31" s="79"/>
      <c r="E31" s="79"/>
      <c r="F31" s="78"/>
      <c r="G31" s="79">
        <f>+B31+D31-E31</f>
        <v>98000000</v>
      </c>
      <c r="H31" s="56"/>
      <c r="I31" s="57"/>
    </row>
    <row r="32" spans="1:9" x14ac:dyDescent="0.2">
      <c r="A32" s="76" t="s">
        <v>625</v>
      </c>
      <c r="B32" s="79">
        <f>+'7. PPyE'!E38</f>
        <v>71193000</v>
      </c>
      <c r="C32" s="78"/>
      <c r="D32" s="79"/>
      <c r="E32" s="79">
        <f>+'7. PPyE'!F38</f>
        <v>66177000</v>
      </c>
      <c r="F32" s="78"/>
      <c r="G32" s="79">
        <f>+B32+D32-E32</f>
        <v>5016000</v>
      </c>
      <c r="H32" s="56"/>
      <c r="I32" s="57"/>
    </row>
    <row r="33" spans="1:9" x14ac:dyDescent="0.2">
      <c r="A33" s="76" t="s">
        <v>248</v>
      </c>
      <c r="B33" s="79">
        <f>+('2. RENTA FISCAL'!B11*72%*2.5%)+('2. RENTA FISCAL'!B13*4%)+('2. RENTA FISCAL'!B18*7%)+('2. RENTA FISCAL'!B27*32%)+('2. RENTA FISCAL'!G31*1%)+('2. RENTA FISCAL'!G130*1%)</f>
        <v>54181824.75</v>
      </c>
      <c r="C33" s="78"/>
      <c r="D33" s="79"/>
      <c r="E33" s="79">
        <f>+B33</f>
        <v>54181824.75</v>
      </c>
      <c r="F33" s="78"/>
      <c r="G33" s="79">
        <f t="shared" si="0"/>
        <v>0</v>
      </c>
      <c r="H33" s="56"/>
      <c r="I33" s="57"/>
    </row>
    <row r="34" spans="1:9" x14ac:dyDescent="0.2">
      <c r="A34" s="76" t="s">
        <v>315</v>
      </c>
      <c r="B34" s="79">
        <f>('2. RENTA FISCAL'!B38-'2. RENTA FISCAL'!B32-'2. RENTA FISCAL'!B33-'2. RENTA FISCAL'!D43)*0.8%</f>
        <v>35402166</v>
      </c>
      <c r="C34" s="78"/>
      <c r="D34" s="79"/>
      <c r="E34" s="79">
        <f>+B34</f>
        <v>35402166</v>
      </c>
      <c r="F34" s="78"/>
      <c r="G34" s="79">
        <f t="shared" si="0"/>
        <v>0</v>
      </c>
      <c r="H34" s="56"/>
      <c r="I34" s="57"/>
    </row>
    <row r="35" spans="1:9" x14ac:dyDescent="0.2">
      <c r="A35" s="76" t="s">
        <v>183</v>
      </c>
      <c r="B35" s="79">
        <f>+'10. INGRESOS'!F53</f>
        <v>17200000</v>
      </c>
      <c r="C35" s="78"/>
      <c r="D35" s="79"/>
      <c r="E35" s="79">
        <f>+B35</f>
        <v>17200000</v>
      </c>
      <c r="F35" s="78"/>
      <c r="G35" s="79">
        <f t="shared" si="0"/>
        <v>0</v>
      </c>
      <c r="H35" s="56"/>
      <c r="I35" s="57"/>
    </row>
    <row r="36" spans="1:9" x14ac:dyDescent="0.2">
      <c r="A36" s="76"/>
      <c r="B36" s="83">
        <f>SUM(B29:B35)</f>
        <v>1438430735.75</v>
      </c>
      <c r="C36" s="78"/>
      <c r="D36" s="79"/>
      <c r="E36" s="79"/>
      <c r="F36" s="78"/>
      <c r="G36" s="83">
        <f>SUM(G29:G35)</f>
        <v>1238905041</v>
      </c>
      <c r="H36" s="56"/>
      <c r="I36" s="57">
        <f>+I24+1</f>
        <v>38</v>
      </c>
    </row>
    <row r="37" spans="1:9" x14ac:dyDescent="0.2">
      <c r="A37" s="76"/>
      <c r="B37" s="79"/>
      <c r="C37" s="82"/>
      <c r="D37" s="79"/>
      <c r="E37" s="79"/>
      <c r="F37" s="78"/>
      <c r="G37" s="79"/>
      <c r="H37" s="56"/>
      <c r="I37" s="57"/>
    </row>
    <row r="38" spans="1:9" x14ac:dyDescent="0.2">
      <c r="A38" s="80" t="s">
        <v>317</v>
      </c>
      <c r="B38" s="79"/>
      <c r="C38" s="82"/>
      <c r="D38" s="79"/>
      <c r="E38" s="79"/>
      <c r="F38" s="78"/>
      <c r="G38" s="79"/>
      <c r="H38" s="56"/>
      <c r="I38" s="57"/>
    </row>
    <row r="39" spans="1:9" x14ac:dyDescent="0.2">
      <c r="A39" s="76" t="s">
        <v>303</v>
      </c>
      <c r="B39" s="79">
        <v>60820000</v>
      </c>
      <c r="C39" s="82"/>
      <c r="D39" s="79"/>
      <c r="E39" s="79"/>
      <c r="F39" s="78"/>
      <c r="G39" s="79">
        <f t="shared" si="0"/>
        <v>60820000</v>
      </c>
      <c r="H39" s="56"/>
      <c r="I39" s="57"/>
    </row>
    <row r="40" spans="1:9" x14ac:dyDescent="0.2">
      <c r="A40" s="76" t="s">
        <v>10</v>
      </c>
      <c r="B40" s="79">
        <v>117082000</v>
      </c>
      <c r="C40" s="81"/>
      <c r="D40" s="79"/>
      <c r="E40" s="79"/>
      <c r="F40" s="78"/>
      <c r="G40" s="79">
        <f t="shared" si="0"/>
        <v>117082000</v>
      </c>
      <c r="H40" s="56"/>
      <c r="I40" s="57"/>
    </row>
    <row r="41" spans="1:9" x14ac:dyDescent="0.2">
      <c r="A41" s="76" t="s">
        <v>316</v>
      </c>
      <c r="B41" s="79">
        <f>-'2. RENTA FISCAL'!E51</f>
        <v>-39290000</v>
      </c>
      <c r="C41" s="81"/>
      <c r="D41" s="79">
        <f>-B41</f>
        <v>39290000</v>
      </c>
      <c r="E41" s="79"/>
      <c r="F41" s="78"/>
      <c r="G41" s="79">
        <f t="shared" si="0"/>
        <v>0</v>
      </c>
      <c r="H41" s="56"/>
      <c r="I41" s="57"/>
    </row>
    <row r="42" spans="1:9" x14ac:dyDescent="0.2">
      <c r="A42" s="76"/>
      <c r="B42" s="83">
        <f>SUM(B39:B41)</f>
        <v>138612000</v>
      </c>
      <c r="C42" s="81"/>
      <c r="D42" s="79"/>
      <c r="E42" s="79"/>
      <c r="F42" s="78"/>
      <c r="G42" s="83">
        <f>SUM(G39:G41)</f>
        <v>177902000</v>
      </c>
      <c r="H42" s="56"/>
      <c r="I42" s="57">
        <f>+I36+1</f>
        <v>39</v>
      </c>
    </row>
    <row r="43" spans="1:9" x14ac:dyDescent="0.2">
      <c r="A43" s="76"/>
      <c r="B43" s="79"/>
      <c r="C43" s="81"/>
      <c r="D43" s="79"/>
      <c r="E43" s="79"/>
      <c r="F43" s="78"/>
      <c r="G43" s="79"/>
      <c r="H43" s="56"/>
      <c r="I43" s="57"/>
    </row>
    <row r="44" spans="1:9" x14ac:dyDescent="0.2">
      <c r="A44" s="80" t="s">
        <v>284</v>
      </c>
      <c r="B44" s="79"/>
      <c r="C44" s="78"/>
      <c r="D44" s="79"/>
      <c r="E44" s="79"/>
      <c r="F44" s="78"/>
      <c r="G44" s="79"/>
      <c r="H44" s="56"/>
      <c r="I44" s="57"/>
    </row>
    <row r="45" spans="1:9" x14ac:dyDescent="0.2">
      <c r="A45" s="76" t="s">
        <v>294</v>
      </c>
      <c r="B45" s="79">
        <f>'7. PPyE'!G13</f>
        <v>504800000</v>
      </c>
      <c r="C45" s="81"/>
      <c r="D45" s="56"/>
      <c r="E45" s="79">
        <f>-'7. PPyE'!L13+'7. PPyE'!G13</f>
        <v>72950000</v>
      </c>
      <c r="F45" s="78"/>
      <c r="G45" s="79">
        <f t="shared" si="0"/>
        <v>431850000</v>
      </c>
      <c r="H45" s="56"/>
      <c r="I45" s="57"/>
    </row>
    <row r="46" spans="1:9" x14ac:dyDescent="0.2">
      <c r="A46" s="76" t="s">
        <v>406</v>
      </c>
      <c r="B46" s="79">
        <f>'7. PPyE'!G18</f>
        <v>723000000</v>
      </c>
      <c r="C46" s="84"/>
      <c r="D46" s="79">
        <f>'7. PPyE'!L18-'7. PPyE'!G18</f>
        <v>198000000</v>
      </c>
      <c r="E46" s="79"/>
      <c r="F46" s="78"/>
      <c r="G46" s="79">
        <f t="shared" si="0"/>
        <v>921000000</v>
      </c>
      <c r="H46" s="56"/>
      <c r="I46" s="57"/>
    </row>
    <row r="47" spans="1:9" x14ac:dyDescent="0.2">
      <c r="A47" s="76" t="s">
        <v>320</v>
      </c>
      <c r="B47" s="79">
        <f>'7. PPyE'!G20</f>
        <v>71330120</v>
      </c>
      <c r="C47" s="78"/>
      <c r="D47" s="79"/>
      <c r="E47" s="79"/>
      <c r="F47" s="78"/>
      <c r="G47" s="79">
        <f t="shared" si="0"/>
        <v>71330120</v>
      </c>
      <c r="H47" s="56"/>
      <c r="I47" s="57"/>
    </row>
    <row r="48" spans="1:9" x14ac:dyDescent="0.2">
      <c r="A48" s="76" t="s">
        <v>321</v>
      </c>
      <c r="B48" s="79">
        <f>'7. PPyE'!G26</f>
        <v>568443000</v>
      </c>
      <c r="C48" s="78"/>
      <c r="D48" s="79">
        <f>+'7. PPyE'!J23+'7. PPyE'!J25</f>
        <v>23546874.630000003</v>
      </c>
      <c r="E48" s="79">
        <f>+'7. PPyE'!F25-'7. PPyE'!K25</f>
        <v>0</v>
      </c>
      <c r="F48" s="78"/>
      <c r="G48" s="79">
        <f t="shared" si="0"/>
        <v>591989874.63</v>
      </c>
      <c r="H48" s="56"/>
      <c r="I48" s="57"/>
    </row>
    <row r="49" spans="1:9" x14ac:dyDescent="0.2">
      <c r="A49" s="76" t="s">
        <v>415</v>
      </c>
      <c r="B49" s="79">
        <f>+'7. PPyE'!G31</f>
        <v>406930000</v>
      </c>
      <c r="C49" s="78"/>
      <c r="D49" s="79">
        <f>+'7. PPyE'!L30-'7. PPyE'!G30</f>
        <v>0</v>
      </c>
      <c r="E49" s="79"/>
      <c r="F49" s="78"/>
      <c r="G49" s="79">
        <f t="shared" si="0"/>
        <v>406930000</v>
      </c>
      <c r="H49" s="56"/>
      <c r="I49" s="57"/>
    </row>
    <row r="50" spans="1:9" x14ac:dyDescent="0.2">
      <c r="A50" s="76" t="s">
        <v>333</v>
      </c>
      <c r="B50" s="85">
        <f>SUM(B45:B49)</f>
        <v>2274503120</v>
      </c>
      <c r="C50" s="78"/>
      <c r="D50" s="79"/>
      <c r="E50" s="79"/>
      <c r="F50" s="78"/>
      <c r="G50" s="85">
        <f>SUM(G45:G49)</f>
        <v>2423099994.6300001</v>
      </c>
      <c r="H50" s="56"/>
      <c r="I50" s="57"/>
    </row>
    <row r="51" spans="1:9" x14ac:dyDescent="0.2">
      <c r="A51" s="76" t="s">
        <v>553</v>
      </c>
      <c r="B51" s="79">
        <f>-'8. DEPRECIACIÓN'!G33</f>
        <v>-424466764.5</v>
      </c>
      <c r="C51" s="78"/>
      <c r="D51" s="79"/>
      <c r="E51" s="79">
        <f>+'8. DEPRECIACIÓN'!M33-'8. DEPRECIACIÓN'!G33</f>
        <v>336872280.83333337</v>
      </c>
      <c r="F51" s="78"/>
      <c r="G51" s="79">
        <f t="shared" ref="G51:G55" si="1">+B51+D51-E51</f>
        <v>-761339045.33333337</v>
      </c>
      <c r="H51" s="56"/>
      <c r="I51" s="57"/>
    </row>
    <row r="52" spans="1:9" x14ac:dyDescent="0.2">
      <c r="A52" s="76"/>
      <c r="B52" s="83">
        <f>SUM(B50:B51)</f>
        <v>1850036355.5</v>
      </c>
      <c r="C52" s="78"/>
      <c r="D52" s="79"/>
      <c r="E52" s="79"/>
      <c r="F52" s="78"/>
      <c r="G52" s="83">
        <f>SUM(G50:G51)</f>
        <v>1661760949.2966666</v>
      </c>
      <c r="H52" s="56"/>
      <c r="I52" s="57">
        <v>42</v>
      </c>
    </row>
    <row r="53" spans="1:9" x14ac:dyDescent="0.2">
      <c r="A53" s="76"/>
      <c r="B53" s="79"/>
      <c r="C53" s="78"/>
      <c r="D53" s="79"/>
      <c r="E53" s="79"/>
      <c r="F53" s="78"/>
      <c r="G53" s="79"/>
      <c r="H53" s="56"/>
      <c r="I53" s="57"/>
    </row>
    <row r="54" spans="1:9" x14ac:dyDescent="0.2">
      <c r="A54" s="80" t="s">
        <v>186</v>
      </c>
      <c r="B54" s="79"/>
      <c r="C54" s="78"/>
      <c r="D54" s="79"/>
      <c r="E54" s="79"/>
      <c r="F54" s="78"/>
      <c r="G54" s="79"/>
      <c r="H54" s="56"/>
      <c r="I54" s="57"/>
    </row>
    <row r="55" spans="1:9" x14ac:dyDescent="0.2">
      <c r="A55" s="76" t="s">
        <v>153</v>
      </c>
      <c r="B55" s="79">
        <v>50314064.694500044</v>
      </c>
      <c r="C55" s="78"/>
      <c r="D55" s="77"/>
      <c r="E55" s="77">
        <f>+B55</f>
        <v>50314064.694500044</v>
      </c>
      <c r="F55" s="78"/>
      <c r="G55" s="79">
        <f t="shared" si="1"/>
        <v>0</v>
      </c>
      <c r="H55" s="56"/>
      <c r="I55" s="57"/>
    </row>
    <row r="56" spans="1:9" x14ac:dyDescent="0.2">
      <c r="A56" s="76"/>
      <c r="B56" s="83">
        <f>SUM(B55:B55)</f>
        <v>50314064.694500044</v>
      </c>
      <c r="C56" s="78"/>
      <c r="D56" s="79"/>
      <c r="E56" s="79"/>
      <c r="F56" s="78"/>
      <c r="G56" s="83">
        <f>SUM(G55:G55)</f>
        <v>0</v>
      </c>
      <c r="H56" s="56"/>
      <c r="I56" s="57">
        <f>+I52+1</f>
        <v>43</v>
      </c>
    </row>
    <row r="57" spans="1:9" x14ac:dyDescent="0.2">
      <c r="A57" s="76"/>
      <c r="B57" s="79"/>
      <c r="C57" s="78"/>
      <c r="D57" s="79"/>
      <c r="E57" s="79"/>
      <c r="F57" s="78"/>
      <c r="G57" s="79"/>
      <c r="H57" s="56"/>
      <c r="I57" s="57"/>
    </row>
    <row r="58" spans="1:9" x14ac:dyDescent="0.2">
      <c r="A58" s="56"/>
      <c r="B58" s="78"/>
      <c r="C58" s="78"/>
      <c r="D58" s="78"/>
      <c r="E58" s="78"/>
      <c r="F58" s="78"/>
      <c r="G58" s="78"/>
      <c r="H58" s="56"/>
      <c r="I58" s="57"/>
    </row>
    <row r="59" spans="1:9" ht="12.75" thickBot="1" x14ac:dyDescent="0.25">
      <c r="A59" s="54" t="s">
        <v>329</v>
      </c>
      <c r="B59" s="86">
        <f>+B12+B36+B25+B42+B52+B56</f>
        <v>4760866611.4445</v>
      </c>
      <c r="C59" s="78"/>
      <c r="D59" s="86">
        <f>SUM(D12:D55)</f>
        <v>694806042.01240194</v>
      </c>
      <c r="E59" s="86">
        <f>SUM(E12:E55)</f>
        <v>1323812490.2778332</v>
      </c>
      <c r="F59" s="78"/>
      <c r="G59" s="86">
        <f>+G12+G36+G25+G42+G52+G56</f>
        <v>4131860163.1790686</v>
      </c>
      <c r="H59" s="56"/>
      <c r="I59" s="57">
        <f>+I56+1</f>
        <v>44</v>
      </c>
    </row>
    <row r="60" spans="1:9" ht="12.75" thickTop="1" x14ac:dyDescent="0.2">
      <c r="A60" s="56"/>
      <c r="B60" s="78"/>
      <c r="C60" s="78"/>
      <c r="D60" s="78"/>
      <c r="E60" s="78"/>
      <c r="F60" s="78"/>
      <c r="G60" s="78"/>
      <c r="H60" s="56"/>
      <c r="I60" s="57"/>
    </row>
    <row r="61" spans="1:9" x14ac:dyDescent="0.2">
      <c r="A61" s="59" t="s">
        <v>11</v>
      </c>
      <c r="B61" s="78"/>
      <c r="C61" s="78"/>
      <c r="D61" s="78"/>
      <c r="E61" s="78"/>
      <c r="F61" s="78"/>
      <c r="G61" s="78"/>
      <c r="H61" s="56"/>
      <c r="I61" s="57"/>
    </row>
    <row r="62" spans="1:9" x14ac:dyDescent="0.2">
      <c r="A62" s="54"/>
      <c r="B62" s="78"/>
      <c r="C62" s="78"/>
      <c r="D62" s="78"/>
      <c r="E62" s="78"/>
      <c r="F62" s="78"/>
      <c r="G62" s="78" t="s">
        <v>12</v>
      </c>
      <c r="H62" s="56"/>
      <c r="I62" s="57"/>
    </row>
    <row r="63" spans="1:9" x14ac:dyDescent="0.2">
      <c r="A63" s="76" t="s">
        <v>13</v>
      </c>
      <c r="B63" s="79">
        <f>+'13. LABORALES - INTS'!E48</f>
        <v>1440000000</v>
      </c>
      <c r="C63" s="79"/>
      <c r="D63" s="79"/>
      <c r="E63" s="79"/>
      <c r="F63" s="79"/>
      <c r="G63" s="79">
        <f>+B63+E63-D63</f>
        <v>1440000000</v>
      </c>
      <c r="H63" s="56"/>
      <c r="I63" s="57"/>
    </row>
    <row r="64" spans="1:9" x14ac:dyDescent="0.2">
      <c r="A64" s="76" t="s">
        <v>206</v>
      </c>
      <c r="B64" s="79">
        <v>607890000</v>
      </c>
      <c r="C64" s="79"/>
      <c r="D64" s="79"/>
      <c r="E64" s="79"/>
      <c r="F64" s="79"/>
      <c r="G64" s="79">
        <f t="shared" ref="G64:G72" si="2">+B64+E64-D64</f>
        <v>607890000</v>
      </c>
      <c r="H64" s="56"/>
      <c r="I64" s="57"/>
    </row>
    <row r="65" spans="1:10" x14ac:dyDescent="0.2">
      <c r="A65" s="76" t="s">
        <v>149</v>
      </c>
      <c r="B65" s="79">
        <v>65818000</v>
      </c>
      <c r="C65" s="79"/>
      <c r="D65" s="79"/>
      <c r="E65" s="79"/>
      <c r="F65" s="79"/>
      <c r="G65" s="79">
        <f t="shared" si="2"/>
        <v>65818000</v>
      </c>
      <c r="H65" s="56"/>
      <c r="I65" s="57"/>
    </row>
    <row r="66" spans="1:10" x14ac:dyDescent="0.2">
      <c r="A66" s="76" t="s">
        <v>300</v>
      </c>
      <c r="B66" s="79">
        <f>+'2. RENTA FISCAL'!B101</f>
        <v>198500000</v>
      </c>
      <c r="C66" s="79"/>
      <c r="D66" s="79">
        <f>+B66</f>
        <v>198500000</v>
      </c>
      <c r="E66" s="79">
        <f>+'3. VR A PAGAR'!E50-'3. VR A PAGAR'!E42</f>
        <v>11708000</v>
      </c>
      <c r="F66" s="79"/>
      <c r="G66" s="79">
        <f t="shared" si="2"/>
        <v>11708000</v>
      </c>
      <c r="H66" s="56"/>
      <c r="I66" s="57"/>
      <c r="J66" s="2"/>
    </row>
    <row r="67" spans="1:10" x14ac:dyDescent="0.2">
      <c r="A67" s="76" t="s">
        <v>15</v>
      </c>
      <c r="B67" s="79">
        <v>29330000</v>
      </c>
      <c r="C67" s="79"/>
      <c r="D67" s="79"/>
      <c r="E67" s="79"/>
      <c r="F67" s="79"/>
      <c r="G67" s="79">
        <f t="shared" si="2"/>
        <v>29330000</v>
      </c>
      <c r="H67" s="56"/>
      <c r="I67" s="57"/>
    </row>
    <row r="68" spans="1:10" x14ac:dyDescent="0.2">
      <c r="A68" s="76" t="s">
        <v>301</v>
      </c>
      <c r="B68" s="79">
        <f>+'2. RENTA FISCAL'!B47/10*0.4%</f>
        <v>1800379.5</v>
      </c>
      <c r="C68" s="79"/>
      <c r="D68" s="79"/>
      <c r="E68" s="79"/>
      <c r="F68" s="79"/>
      <c r="G68" s="79">
        <f t="shared" si="2"/>
        <v>1800379.5</v>
      </c>
      <c r="H68" s="56"/>
      <c r="I68" s="57"/>
    </row>
    <row r="69" spans="1:10" x14ac:dyDescent="0.2">
      <c r="A69" s="76" t="s">
        <v>16</v>
      </c>
      <c r="B69" s="79">
        <v>1036000</v>
      </c>
      <c r="C69" s="79"/>
      <c r="D69" s="79"/>
      <c r="E69" s="79"/>
      <c r="F69" s="79"/>
      <c r="G69" s="79">
        <f t="shared" si="2"/>
        <v>1036000</v>
      </c>
      <c r="H69" s="56"/>
      <c r="I69" s="57"/>
    </row>
    <row r="70" spans="1:10" x14ac:dyDescent="0.2">
      <c r="A70" s="76" t="s">
        <v>274</v>
      </c>
      <c r="B70" s="79">
        <f>3200000+16348000</f>
        <v>19548000</v>
      </c>
      <c r="C70" s="79"/>
      <c r="D70" s="79"/>
      <c r="E70" s="79"/>
      <c r="F70" s="79"/>
      <c r="G70" s="79">
        <f t="shared" si="2"/>
        <v>19548000</v>
      </c>
      <c r="H70" s="56"/>
      <c r="I70" s="57"/>
    </row>
    <row r="71" spans="1:10" x14ac:dyDescent="0.2">
      <c r="A71" s="76" t="s">
        <v>14</v>
      </c>
      <c r="B71" s="79">
        <v>235915600</v>
      </c>
      <c r="C71" s="79"/>
      <c r="D71" s="79"/>
      <c r="E71" s="79"/>
      <c r="F71" s="79"/>
      <c r="G71" s="79">
        <f>+B71+E71-D71</f>
        <v>235915600</v>
      </c>
      <c r="H71" s="56"/>
      <c r="I71" s="57"/>
    </row>
    <row r="72" spans="1:10" x14ac:dyDescent="0.2">
      <c r="A72" s="76" t="s">
        <v>154</v>
      </c>
      <c r="B72" s="77">
        <v>136966805.39430633</v>
      </c>
      <c r="C72" s="79"/>
      <c r="D72" s="77">
        <f>+B72</f>
        <v>136966805.39430633</v>
      </c>
      <c r="E72" s="77"/>
      <c r="F72" s="79"/>
      <c r="G72" s="77">
        <f t="shared" si="2"/>
        <v>0</v>
      </c>
      <c r="H72" s="56"/>
      <c r="I72" s="57"/>
    </row>
    <row r="73" spans="1:10" x14ac:dyDescent="0.2">
      <c r="A73" s="56"/>
      <c r="B73" s="78"/>
      <c r="C73" s="78"/>
      <c r="D73" s="78"/>
      <c r="E73" s="78"/>
      <c r="F73" s="78"/>
      <c r="G73" s="78"/>
      <c r="H73" s="56"/>
      <c r="I73" s="57"/>
    </row>
    <row r="74" spans="1:10" x14ac:dyDescent="0.2">
      <c r="A74" s="54" t="s">
        <v>17</v>
      </c>
      <c r="B74" s="87">
        <f>SUM(B63:B72)</f>
        <v>2736804784.8943062</v>
      </c>
      <c r="C74" s="78"/>
      <c r="D74" s="87">
        <f>SUM(D63:D72)</f>
        <v>335466805.3943063</v>
      </c>
      <c r="E74" s="87">
        <f>SUM(E63:E72)</f>
        <v>11708000</v>
      </c>
      <c r="F74" s="78"/>
      <c r="G74" s="87">
        <f>SUM(G63:G72)</f>
        <v>2413045979.5</v>
      </c>
      <c r="H74" s="56"/>
      <c r="I74" s="57">
        <f>+I59+1</f>
        <v>45</v>
      </c>
    </row>
    <row r="75" spans="1:10" x14ac:dyDescent="0.2">
      <c r="A75" s="56"/>
      <c r="B75" s="78"/>
      <c r="C75" s="78"/>
      <c r="D75" s="78"/>
      <c r="E75" s="78"/>
      <c r="F75" s="78"/>
      <c r="G75" s="78"/>
      <c r="H75" s="56"/>
      <c r="I75" s="57"/>
    </row>
    <row r="76" spans="1:10" x14ac:dyDescent="0.2">
      <c r="A76" s="56"/>
      <c r="B76" s="78"/>
      <c r="C76" s="78"/>
      <c r="D76" s="78"/>
      <c r="E76" s="78"/>
      <c r="F76" s="78"/>
      <c r="G76" s="78"/>
      <c r="H76" s="56"/>
      <c r="I76" s="57"/>
    </row>
    <row r="77" spans="1:10" ht="12.75" thickBot="1" x14ac:dyDescent="0.25">
      <c r="A77" s="58" t="s">
        <v>330</v>
      </c>
      <c r="B77" s="86">
        <f>+B59-B74</f>
        <v>2024061826.5501938</v>
      </c>
      <c r="C77" s="78"/>
      <c r="D77" s="78"/>
      <c r="E77" s="78"/>
      <c r="F77" s="78"/>
      <c r="G77" s="86">
        <f>+G59-G74</f>
        <v>1718814183.6790686</v>
      </c>
      <c r="H77" s="56"/>
      <c r="I77" s="57">
        <f>+I74+1</f>
        <v>46</v>
      </c>
    </row>
    <row r="78" spans="1:10" ht="12.75" thickTop="1" x14ac:dyDescent="0.2">
      <c r="A78" s="56"/>
      <c r="B78" s="78"/>
      <c r="C78" s="78"/>
      <c r="D78" s="78"/>
      <c r="E78" s="78"/>
      <c r="F78" s="78"/>
      <c r="G78" s="78"/>
      <c r="H78" s="56"/>
      <c r="I78" s="57"/>
    </row>
    <row r="79" spans="1:10" x14ac:dyDescent="0.2">
      <c r="A79" s="56"/>
      <c r="B79" s="78">
        <f>+B59-B74-B77</f>
        <v>0</v>
      </c>
      <c r="C79" s="78"/>
      <c r="D79" s="78"/>
      <c r="E79" s="78"/>
      <c r="F79" s="78"/>
      <c r="G79" s="78">
        <f>+G59-G74-G77</f>
        <v>0</v>
      </c>
      <c r="H79" s="56"/>
      <c r="I79" s="57"/>
    </row>
    <row r="80" spans="1:10" x14ac:dyDescent="0.2">
      <c r="B80" s="2"/>
      <c r="D80" s="10"/>
      <c r="E80" s="10"/>
      <c r="G80" s="2"/>
      <c r="I80" s="5"/>
    </row>
    <row r="81" spans="4:9" x14ac:dyDescent="0.2">
      <c r="D81" s="10"/>
      <c r="E81" s="10"/>
      <c r="I81" s="5"/>
    </row>
    <row r="82" spans="4:9" x14ac:dyDescent="0.2">
      <c r="D82" s="10"/>
      <c r="E82" s="10"/>
      <c r="I82" s="5"/>
    </row>
    <row r="83" spans="4:9" x14ac:dyDescent="0.2">
      <c r="D83" s="10"/>
      <c r="E83" s="10"/>
      <c r="I83" s="5"/>
    </row>
    <row r="84" spans="4:9" x14ac:dyDescent="0.2">
      <c r="D84" s="10"/>
      <c r="E84" s="10"/>
      <c r="I84" s="5"/>
    </row>
    <row r="85" spans="4:9" x14ac:dyDescent="0.2">
      <c r="D85" s="10"/>
      <c r="E85" s="10"/>
      <c r="I85" s="5"/>
    </row>
    <row r="86" spans="4:9" x14ac:dyDescent="0.2">
      <c r="D86" s="10"/>
      <c r="E86" s="10"/>
      <c r="I86" s="5"/>
    </row>
    <row r="87" spans="4:9" x14ac:dyDescent="0.2">
      <c r="D87" s="10"/>
      <c r="E87" s="10"/>
      <c r="I87" s="5"/>
    </row>
    <row r="88" spans="4:9" x14ac:dyDescent="0.2">
      <c r="D88" s="10"/>
      <c r="E88" s="10"/>
      <c r="I88" s="5"/>
    </row>
    <row r="89" spans="4:9" x14ac:dyDescent="0.2">
      <c r="D89" s="10"/>
      <c r="E89" s="10"/>
      <c r="I89" s="5"/>
    </row>
    <row r="90" spans="4:9" x14ac:dyDescent="0.2">
      <c r="D90" s="10"/>
      <c r="E90" s="10"/>
      <c r="I90" s="5"/>
    </row>
    <row r="91" spans="4:9" x14ac:dyDescent="0.2">
      <c r="D91" s="10"/>
      <c r="E91" s="10"/>
      <c r="I91" s="5"/>
    </row>
    <row r="92" spans="4:9" x14ac:dyDescent="0.2">
      <c r="D92" s="10"/>
      <c r="E92" s="10"/>
      <c r="I92" s="5"/>
    </row>
    <row r="93" spans="4:9" x14ac:dyDescent="0.2">
      <c r="D93" s="10"/>
      <c r="E93" s="10"/>
      <c r="I93" s="5"/>
    </row>
    <row r="94" spans="4:9" x14ac:dyDescent="0.2">
      <c r="D94" s="10"/>
      <c r="E94" s="10"/>
      <c r="I94" s="5"/>
    </row>
    <row r="95" spans="4:9" x14ac:dyDescent="0.2">
      <c r="D95" s="10"/>
      <c r="E95" s="10"/>
      <c r="I95" s="5"/>
    </row>
    <row r="96" spans="4:9" x14ac:dyDescent="0.2">
      <c r="D96" s="10"/>
      <c r="E96" s="10"/>
      <c r="I96" s="5"/>
    </row>
    <row r="97" spans="4:9" x14ac:dyDescent="0.2">
      <c r="D97" s="10"/>
      <c r="E97" s="10"/>
      <c r="I97" s="5"/>
    </row>
    <row r="98" spans="4:9" x14ac:dyDescent="0.2">
      <c r="D98" s="10"/>
      <c r="E98" s="10"/>
      <c r="I98" s="5"/>
    </row>
    <row r="99" spans="4:9" x14ac:dyDescent="0.2">
      <c r="D99" s="10"/>
      <c r="E99" s="10"/>
      <c r="I99" s="5"/>
    </row>
    <row r="100" spans="4:9" x14ac:dyDescent="0.2">
      <c r="D100" s="10"/>
      <c r="E100" s="10"/>
      <c r="I100" s="5"/>
    </row>
    <row r="101" spans="4:9" x14ac:dyDescent="0.2">
      <c r="D101" s="10"/>
      <c r="E101" s="10"/>
      <c r="I101" s="5"/>
    </row>
    <row r="102" spans="4:9" x14ac:dyDescent="0.2">
      <c r="D102" s="10"/>
      <c r="E102" s="10"/>
      <c r="I102" s="5"/>
    </row>
    <row r="103" spans="4:9" x14ac:dyDescent="0.2">
      <c r="D103" s="10"/>
      <c r="E103" s="10"/>
      <c r="I103" s="5"/>
    </row>
    <row r="104" spans="4:9" x14ac:dyDescent="0.2">
      <c r="D104" s="10"/>
      <c r="E104" s="10"/>
      <c r="I104" s="5"/>
    </row>
    <row r="105" spans="4:9" x14ac:dyDescent="0.2">
      <c r="D105" s="10"/>
      <c r="E105" s="10"/>
      <c r="I105" s="5"/>
    </row>
    <row r="106" spans="4:9" x14ac:dyDescent="0.2">
      <c r="D106" s="10"/>
      <c r="E106" s="10"/>
      <c r="I106" s="5"/>
    </row>
    <row r="107" spans="4:9" x14ac:dyDescent="0.2">
      <c r="D107" s="10"/>
      <c r="E107" s="10"/>
      <c r="I107" s="5"/>
    </row>
    <row r="108" spans="4:9" x14ac:dyDescent="0.2">
      <c r="D108" s="10"/>
      <c r="E108" s="10"/>
      <c r="I108" s="5"/>
    </row>
    <row r="109" spans="4:9" x14ac:dyDescent="0.2">
      <c r="D109" s="10"/>
      <c r="E109" s="10"/>
      <c r="I109" s="5"/>
    </row>
    <row r="110" spans="4:9" x14ac:dyDescent="0.2">
      <c r="D110" s="10"/>
      <c r="E110" s="10"/>
      <c r="I110" s="5"/>
    </row>
    <row r="111" spans="4:9" x14ac:dyDescent="0.2">
      <c r="D111" s="10"/>
      <c r="E111" s="10"/>
      <c r="I111" s="5"/>
    </row>
    <row r="112" spans="4:9" x14ac:dyDescent="0.2">
      <c r="D112" s="10"/>
      <c r="E112" s="10"/>
      <c r="I112" s="5"/>
    </row>
    <row r="113" spans="4:9" x14ac:dyDescent="0.2">
      <c r="D113" s="10"/>
      <c r="E113" s="10"/>
      <c r="I113" s="5"/>
    </row>
    <row r="114" spans="4:9" x14ac:dyDescent="0.2">
      <c r="D114" s="10"/>
      <c r="E114" s="10"/>
      <c r="I114" s="5"/>
    </row>
    <row r="115" spans="4:9" x14ac:dyDescent="0.2">
      <c r="D115" s="10"/>
      <c r="E115" s="10"/>
      <c r="I115" s="5"/>
    </row>
    <row r="116" spans="4:9" x14ac:dyDescent="0.2">
      <c r="D116" s="10"/>
      <c r="E116" s="10"/>
      <c r="I116" s="5"/>
    </row>
    <row r="117" spans="4:9" x14ac:dyDescent="0.2">
      <c r="D117" s="10"/>
      <c r="E117" s="10"/>
      <c r="I117" s="5"/>
    </row>
    <row r="118" spans="4:9" x14ac:dyDescent="0.2">
      <c r="D118" s="10"/>
      <c r="E118" s="10"/>
      <c r="I118" s="5"/>
    </row>
    <row r="119" spans="4:9" x14ac:dyDescent="0.2">
      <c r="D119" s="10"/>
      <c r="E119" s="10"/>
      <c r="I119" s="5"/>
    </row>
    <row r="120" spans="4:9" x14ac:dyDescent="0.2">
      <c r="D120" s="10"/>
      <c r="E120" s="10"/>
      <c r="I120" s="5"/>
    </row>
    <row r="121" spans="4:9" x14ac:dyDescent="0.2">
      <c r="D121" s="10"/>
      <c r="E121" s="10"/>
      <c r="I121" s="5"/>
    </row>
    <row r="122" spans="4:9" x14ac:dyDescent="0.2">
      <c r="D122" s="10"/>
      <c r="E122" s="10"/>
      <c r="I122" s="5"/>
    </row>
    <row r="123" spans="4:9" x14ac:dyDescent="0.2">
      <c r="D123" s="10"/>
      <c r="E123" s="10"/>
      <c r="I123" s="5"/>
    </row>
    <row r="124" spans="4:9" x14ac:dyDescent="0.2">
      <c r="D124" s="10"/>
      <c r="E124" s="10"/>
      <c r="I124" s="5"/>
    </row>
    <row r="125" spans="4:9" x14ac:dyDescent="0.2">
      <c r="D125" s="10"/>
      <c r="E125" s="10"/>
      <c r="I125" s="5"/>
    </row>
    <row r="126" spans="4:9" x14ac:dyDescent="0.2">
      <c r="D126" s="10"/>
      <c r="E126" s="10"/>
      <c r="I126" s="5"/>
    </row>
    <row r="127" spans="4:9" x14ac:dyDescent="0.2">
      <c r="D127" s="10"/>
      <c r="E127" s="10"/>
      <c r="I127" s="5"/>
    </row>
    <row r="128" spans="4:9" x14ac:dyDescent="0.2">
      <c r="D128" s="10"/>
      <c r="E128" s="10"/>
      <c r="I128" s="5"/>
    </row>
    <row r="129" spans="4:9" x14ac:dyDescent="0.2">
      <c r="D129" s="10"/>
      <c r="E129" s="10"/>
      <c r="I129" s="5"/>
    </row>
    <row r="130" spans="4:9" x14ac:dyDescent="0.2">
      <c r="D130" s="10"/>
      <c r="E130" s="10"/>
      <c r="I130" s="5"/>
    </row>
    <row r="131" spans="4:9" x14ac:dyDescent="0.2">
      <c r="D131" s="10"/>
      <c r="E131" s="10"/>
      <c r="I131" s="5"/>
    </row>
    <row r="132" spans="4:9" x14ac:dyDescent="0.2">
      <c r="D132" s="10"/>
      <c r="E132" s="10"/>
      <c r="I132" s="5"/>
    </row>
    <row r="133" spans="4:9" x14ac:dyDescent="0.2">
      <c r="D133" s="10"/>
      <c r="E133" s="10"/>
      <c r="I133" s="5"/>
    </row>
    <row r="134" spans="4:9" x14ac:dyDescent="0.2">
      <c r="D134" s="10"/>
      <c r="E134" s="10"/>
      <c r="I134" s="5"/>
    </row>
    <row r="135" spans="4:9" x14ac:dyDescent="0.2">
      <c r="D135" s="10"/>
      <c r="E135" s="10"/>
      <c r="I135" s="5"/>
    </row>
    <row r="136" spans="4:9" x14ac:dyDescent="0.2">
      <c r="D136" s="10"/>
      <c r="E136" s="10"/>
      <c r="I136" s="5"/>
    </row>
    <row r="137" spans="4:9" x14ac:dyDescent="0.2">
      <c r="D137" s="10"/>
      <c r="E137" s="10"/>
      <c r="I137" s="5"/>
    </row>
    <row r="138" spans="4:9" x14ac:dyDescent="0.2">
      <c r="D138" s="10"/>
      <c r="E138" s="10"/>
      <c r="I138" s="5"/>
    </row>
    <row r="139" spans="4:9" x14ac:dyDescent="0.2">
      <c r="D139" s="10"/>
      <c r="E139" s="10"/>
      <c r="I139" s="5"/>
    </row>
    <row r="140" spans="4:9" x14ac:dyDescent="0.2">
      <c r="D140" s="10"/>
      <c r="E140" s="10"/>
      <c r="I140" s="5"/>
    </row>
    <row r="141" spans="4:9" x14ac:dyDescent="0.2">
      <c r="D141" s="10"/>
      <c r="E141" s="10"/>
      <c r="I141" s="5"/>
    </row>
    <row r="142" spans="4:9" x14ac:dyDescent="0.2">
      <c r="D142" s="10"/>
      <c r="E142" s="10"/>
      <c r="I142" s="5"/>
    </row>
    <row r="143" spans="4:9" x14ac:dyDescent="0.2">
      <c r="D143" s="10"/>
      <c r="E143" s="10"/>
      <c r="I143" s="5"/>
    </row>
    <row r="144" spans="4:9" x14ac:dyDescent="0.2">
      <c r="D144" s="10"/>
      <c r="E144" s="10"/>
      <c r="I144" s="5"/>
    </row>
    <row r="145" spans="4:9" x14ac:dyDescent="0.2">
      <c r="D145" s="10"/>
      <c r="E145" s="10"/>
      <c r="I145" s="5"/>
    </row>
    <row r="146" spans="4:9" x14ac:dyDescent="0.2">
      <c r="D146" s="10"/>
      <c r="E146" s="10"/>
      <c r="I146" s="5"/>
    </row>
    <row r="147" spans="4:9" x14ac:dyDescent="0.2">
      <c r="D147" s="10"/>
      <c r="E147" s="10"/>
      <c r="I147" s="5"/>
    </row>
    <row r="148" spans="4:9" x14ac:dyDescent="0.2">
      <c r="D148" s="10"/>
      <c r="E148" s="10"/>
      <c r="I148" s="5"/>
    </row>
  </sheetData>
  <sheetProtection algorithmName="SHA-512" hashValue="DddUevR8nnsuvOOct3i2nzKSW6s9qbRMvDbsfWSbLHf7foqRvX6/qChx7vGPvYRWnx7jvW2OoqS7H1acNYON1Q==" saltValue="JG+yh66iYVPM8g0ADRboNA==" spinCount="100000" sheet="1" objects="1" scenarios="1"/>
  <phoneticPr fontId="7" type="noConversion"/>
  <printOptions horizontalCentered="1" verticalCentered="1"/>
  <pageMargins left="0.59055118110236227" right="0.39370078740157483" top="0.39370078740157483" bottom="0.39370078740157483" header="0.51181102362204722" footer="0.51181102362204722"/>
  <pageSetup scale="80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A1:G7 A8 I6:I11 I14:I16 I17:I23 I26:I30 I24:I25 I53:I63 B31:B34 I64:I77 D16:E16 E32 I51 B50:F50 B52 G52 B70 G12 I31:I49 B29" unlockedFormula="1"/>
    <ignoredError sqref="C8:G8 B35:G38 C33:G33 C32:D32 F32:G32 B65:G66 B41:G49 C40:G40 C64:G64 B68:G69 C67:G67 B73:G80 C71:G71 B14:G15 B17:G21 B16:C16 F16:G16 C12:F12 C39:G39 B53:G54 C52:F52 B51:G51 B23:G28 C22:D22 F22:G22 C70:G70 C72:G72 B56:G63 C55:G55 C34:G34 C31 B30:G30 C29:G29 E31:G31" twoDigitTextYear="1" unlockedFormula="1"/>
    <ignoredError sqref="B9:G11 B81:G82 B8" twoDigitTextYear="1"/>
    <ignoredError sqref="G50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4"/>
  <sheetViews>
    <sheetView workbookViewId="0">
      <selection activeCell="E3" sqref="E3"/>
    </sheetView>
  </sheetViews>
  <sheetFormatPr baseColWidth="10" defaultRowHeight="12" x14ac:dyDescent="0.2"/>
  <cols>
    <col min="1" max="1" width="1.7109375" style="5" customWidth="1"/>
    <col min="2" max="2" width="64.7109375" style="5" bestFit="1" customWidth="1"/>
    <col min="3" max="3" width="1.7109375" style="5" customWidth="1"/>
    <col min="4" max="4" width="12.42578125" style="5" customWidth="1"/>
    <col min="5" max="5" width="13.140625" style="5" customWidth="1"/>
    <col min="6" max="6" width="1.7109375" style="5" customWidth="1"/>
    <col min="7" max="7" width="13.7109375" style="5" customWidth="1"/>
    <col min="8" max="8" width="1.7109375" style="5" customWidth="1"/>
    <col min="9" max="16384" width="11.42578125" style="5"/>
  </cols>
  <sheetData>
    <row r="1" spans="1:6" x14ac:dyDescent="0.2">
      <c r="A1" s="56"/>
      <c r="B1" s="54" t="str">
        <f>+'1. PATRIM FISCAL'!A1</f>
        <v>EL EXPERTO S.A.S.</v>
      </c>
      <c r="C1" s="56"/>
      <c r="D1" s="88"/>
      <c r="E1" s="88"/>
      <c r="F1" s="56"/>
    </row>
    <row r="2" spans="1:6" x14ac:dyDescent="0.2">
      <c r="A2" s="56"/>
      <c r="B2" s="54" t="str">
        <f>+'1. PATRIM FISCAL'!A2</f>
        <v>NIT 890.378.233 - 1</v>
      </c>
      <c r="C2" s="56"/>
      <c r="D2" s="88"/>
      <c r="E2" s="88"/>
      <c r="F2" s="56"/>
    </row>
    <row r="3" spans="1:6" x14ac:dyDescent="0.2">
      <c r="A3" s="56"/>
      <c r="B3" s="54" t="str">
        <f>+'1. PATRIM FISCAL'!A3</f>
        <v>DECLARACION DE RENTA AÑO GRAVABLE 2024</v>
      </c>
      <c r="C3" s="56"/>
      <c r="D3" s="88"/>
      <c r="E3" s="89" t="s">
        <v>110</v>
      </c>
      <c r="F3" s="56"/>
    </row>
    <row r="4" spans="1:6" x14ac:dyDescent="0.2">
      <c r="A4" s="56"/>
      <c r="B4" s="54" t="s">
        <v>314</v>
      </c>
      <c r="C4" s="56"/>
      <c r="D4" s="88"/>
      <c r="E4" s="56"/>
      <c r="F4" s="56"/>
    </row>
    <row r="5" spans="1:6" x14ac:dyDescent="0.2">
      <c r="A5" s="56"/>
      <c r="B5" s="56"/>
      <c r="C5" s="56"/>
      <c r="D5" s="88"/>
      <c r="E5" s="88"/>
      <c r="F5" s="56"/>
    </row>
    <row r="6" spans="1:6" x14ac:dyDescent="0.2">
      <c r="A6" s="56"/>
      <c r="B6" s="56"/>
      <c r="C6" s="56"/>
      <c r="D6" s="88"/>
      <c r="E6" s="88"/>
      <c r="F6" s="56"/>
    </row>
    <row r="7" spans="1:6" s="9" customFormat="1" x14ac:dyDescent="0.2">
      <c r="A7" s="58"/>
      <c r="B7" s="58" t="s">
        <v>536</v>
      </c>
      <c r="C7" s="58"/>
      <c r="D7" s="56"/>
      <c r="E7" s="90">
        <f>+'1. PATRIM FISCAL'!B77</f>
        <v>2024061826.5501938</v>
      </c>
      <c r="F7" s="58"/>
    </row>
    <row r="8" spans="1:6" s="9" customFormat="1" x14ac:dyDescent="0.2">
      <c r="A8" s="58"/>
      <c r="B8" s="58"/>
      <c r="C8" s="58"/>
      <c r="D8" s="90"/>
      <c r="E8" s="90"/>
      <c r="F8" s="58"/>
    </row>
    <row r="9" spans="1:6" x14ac:dyDescent="0.2">
      <c r="A9" s="56"/>
      <c r="B9" s="91" t="s">
        <v>252</v>
      </c>
      <c r="C9" s="56"/>
      <c r="D9" s="88"/>
      <c r="E9" s="88"/>
      <c r="F9" s="56"/>
    </row>
    <row r="10" spans="1:6" x14ac:dyDescent="0.2">
      <c r="A10" s="56"/>
      <c r="B10" s="56"/>
      <c r="C10" s="56"/>
      <c r="D10" s="88"/>
      <c r="E10" s="88"/>
      <c r="F10" s="56"/>
    </row>
    <row r="11" spans="1:6" x14ac:dyDescent="0.2">
      <c r="A11" s="56"/>
      <c r="B11" s="56" t="s">
        <v>390</v>
      </c>
      <c r="C11" s="56"/>
      <c r="D11" s="88">
        <f>+'1. PATRIM FISCAL'!D16</f>
        <v>428178960</v>
      </c>
      <c r="E11" s="88"/>
      <c r="F11" s="56"/>
    </row>
    <row r="12" spans="1:6" x14ac:dyDescent="0.2">
      <c r="A12" s="56"/>
      <c r="B12" s="56" t="s">
        <v>397</v>
      </c>
      <c r="C12" s="56"/>
      <c r="D12" s="88">
        <f>+'1. PATRIM FISCAL'!D41</f>
        <v>39290000</v>
      </c>
      <c r="E12" s="88"/>
      <c r="F12" s="56"/>
    </row>
    <row r="13" spans="1:6" x14ac:dyDescent="0.2">
      <c r="A13" s="56"/>
      <c r="B13" s="56" t="s">
        <v>420</v>
      </c>
      <c r="C13" s="56"/>
      <c r="D13" s="88">
        <f>+'6. INVERSIONES'!L23-'6. INVERSIONES'!G23+'6. INVERSIONES'!J30</f>
        <v>5790207.3824020028</v>
      </c>
      <c r="E13" s="88"/>
      <c r="F13" s="56"/>
    </row>
    <row r="14" spans="1:6" x14ac:dyDescent="0.2">
      <c r="A14" s="56"/>
      <c r="B14" s="56" t="s">
        <v>399</v>
      </c>
      <c r="C14" s="56"/>
      <c r="D14" s="88">
        <f>+'1. PATRIM FISCAL'!D46</f>
        <v>198000000</v>
      </c>
      <c r="E14" s="88"/>
      <c r="F14" s="56"/>
    </row>
    <row r="15" spans="1:6" x14ac:dyDescent="0.2">
      <c r="A15" s="56"/>
      <c r="B15" s="56" t="s">
        <v>400</v>
      </c>
      <c r="C15" s="56"/>
      <c r="D15" s="88">
        <f>+'1. PATRIM FISCAL'!D48</f>
        <v>23546874.630000003</v>
      </c>
      <c r="E15" s="88"/>
      <c r="F15" s="56"/>
    </row>
    <row r="16" spans="1:6" x14ac:dyDescent="0.2">
      <c r="A16" s="56"/>
      <c r="B16" s="56" t="s">
        <v>170</v>
      </c>
      <c r="C16" s="56"/>
      <c r="D16" s="88">
        <f>+'1. PATRIM FISCAL'!D66</f>
        <v>198500000</v>
      </c>
      <c r="E16" s="88"/>
      <c r="F16" s="56"/>
    </row>
    <row r="17" spans="1:6" x14ac:dyDescent="0.2">
      <c r="A17" s="56"/>
      <c r="B17" s="56" t="s">
        <v>112</v>
      </c>
      <c r="C17" s="56"/>
      <c r="D17" s="88">
        <f>+'1. PATRIM FISCAL'!D72</f>
        <v>136966805.39430633</v>
      </c>
      <c r="E17" s="88"/>
      <c r="F17" s="56"/>
    </row>
    <row r="18" spans="1:6" x14ac:dyDescent="0.2">
      <c r="A18" s="56"/>
      <c r="B18" s="56" t="s">
        <v>250</v>
      </c>
      <c r="C18" s="56"/>
      <c r="D18" s="92">
        <f>+'1. PATRIM FISCAL'!D33</f>
        <v>0</v>
      </c>
      <c r="E18" s="90">
        <f>SUM(D9:D18)</f>
        <v>1030272847.4067082</v>
      </c>
      <c r="F18" s="56"/>
    </row>
    <row r="19" spans="1:6" x14ac:dyDescent="0.2">
      <c r="A19" s="56"/>
      <c r="B19" s="56"/>
      <c r="C19" s="56"/>
      <c r="D19" s="88"/>
      <c r="E19" s="88"/>
      <c r="F19" s="56"/>
    </row>
    <row r="20" spans="1:6" x14ac:dyDescent="0.2">
      <c r="A20" s="56"/>
      <c r="B20" s="91" t="s">
        <v>253</v>
      </c>
      <c r="C20" s="56"/>
      <c r="D20" s="88"/>
      <c r="E20" s="88"/>
      <c r="F20" s="56"/>
    </row>
    <row r="21" spans="1:6" x14ac:dyDescent="0.2">
      <c r="A21" s="56"/>
      <c r="B21" s="56"/>
      <c r="C21" s="56"/>
      <c r="D21" s="88"/>
      <c r="E21" s="88"/>
      <c r="F21" s="56"/>
    </row>
    <row r="22" spans="1:6" x14ac:dyDescent="0.2">
      <c r="A22" s="56"/>
      <c r="B22" s="56" t="s">
        <v>528</v>
      </c>
      <c r="C22" s="56"/>
      <c r="D22" s="88">
        <f>-'1. PATRIM FISCAL'!E16</f>
        <v>-454142449.99999994</v>
      </c>
      <c r="E22" s="88"/>
      <c r="F22" s="56"/>
    </row>
    <row r="23" spans="1:6" x14ac:dyDescent="0.2">
      <c r="A23" s="56"/>
      <c r="B23" s="56" t="s">
        <v>396</v>
      </c>
      <c r="C23" s="56"/>
      <c r="D23" s="88">
        <f>-'1. PATRIM FISCAL'!E30</f>
        <v>-26564703.999999914</v>
      </c>
      <c r="E23" s="88"/>
      <c r="F23" s="56"/>
    </row>
    <row r="24" spans="1:6" x14ac:dyDescent="0.2">
      <c r="A24" s="56"/>
      <c r="B24" s="56" t="s">
        <v>394</v>
      </c>
      <c r="C24" s="56"/>
      <c r="D24" s="88">
        <f>-'6. INVERSIONES'!G14-'6. INVERSIONES'!G15</f>
        <v>-63075000</v>
      </c>
      <c r="E24" s="88"/>
      <c r="F24" s="56"/>
    </row>
    <row r="25" spans="1:6" x14ac:dyDescent="0.2">
      <c r="A25" s="56"/>
      <c r="B25" s="56" t="s">
        <v>395</v>
      </c>
      <c r="C25" s="56"/>
      <c r="D25" s="88">
        <f>-'6. INVERSIONES'!G29-'6. INVERSIONES'!G28-'6. INVERSIONES'!G27</f>
        <v>-146933000</v>
      </c>
      <c r="E25" s="88"/>
      <c r="F25" s="56"/>
    </row>
    <row r="26" spans="1:6" x14ac:dyDescent="0.2">
      <c r="A26" s="56"/>
      <c r="B26" s="56" t="s">
        <v>398</v>
      </c>
      <c r="C26" s="56"/>
      <c r="D26" s="88">
        <f>-'1. PATRIM FISCAL'!E45</f>
        <v>-72950000</v>
      </c>
      <c r="E26" s="88"/>
      <c r="F26" s="56"/>
    </row>
    <row r="27" spans="1:6" x14ac:dyDescent="0.2">
      <c r="A27" s="56"/>
      <c r="B27" s="56" t="s">
        <v>407</v>
      </c>
      <c r="C27" s="56"/>
      <c r="D27" s="88">
        <f>-'1. PATRIM FISCAL'!E51</f>
        <v>-336872280.83333337</v>
      </c>
      <c r="E27" s="88"/>
      <c r="F27" s="56"/>
    </row>
    <row r="28" spans="1:6" x14ac:dyDescent="0.2">
      <c r="A28" s="56"/>
      <c r="B28" s="56" t="s">
        <v>466</v>
      </c>
      <c r="C28" s="56"/>
      <c r="D28" s="88">
        <f>-'1. PATRIM FISCAL'!E32</f>
        <v>-66177000</v>
      </c>
      <c r="E28" s="88"/>
      <c r="F28" s="56"/>
    </row>
    <row r="29" spans="1:6" x14ac:dyDescent="0.2">
      <c r="A29" s="56"/>
      <c r="B29" s="56" t="s">
        <v>251</v>
      </c>
      <c r="C29" s="56"/>
      <c r="D29" s="88">
        <f>-'1. PATRIM FISCAL'!E33-'1. PATRIM FISCAL'!E34</f>
        <v>-89583990.75</v>
      </c>
      <c r="E29" s="88"/>
      <c r="F29" s="56"/>
    </row>
    <row r="30" spans="1:6" x14ac:dyDescent="0.2">
      <c r="A30" s="56"/>
      <c r="B30" s="56" t="s">
        <v>200</v>
      </c>
      <c r="C30" s="56"/>
      <c r="D30" s="88">
        <f>-'1. PATRIM FISCAL'!E35</f>
        <v>-17200000</v>
      </c>
      <c r="E30" s="88"/>
      <c r="F30" s="56"/>
    </row>
    <row r="31" spans="1:6" x14ac:dyDescent="0.2">
      <c r="A31" s="56"/>
      <c r="B31" s="56" t="s">
        <v>401</v>
      </c>
      <c r="C31" s="56"/>
      <c r="D31" s="88">
        <f>-'1. PATRIM FISCAL'!E66</f>
        <v>-11708000</v>
      </c>
      <c r="E31" s="88"/>
      <c r="F31" s="56"/>
    </row>
    <row r="32" spans="1:6" x14ac:dyDescent="0.2">
      <c r="A32" s="56"/>
      <c r="B32" s="56" t="s">
        <v>113</v>
      </c>
      <c r="C32" s="56"/>
      <c r="D32" s="88">
        <f>-'1. PATRIM FISCAL'!E55</f>
        <v>-50314064.694500044</v>
      </c>
      <c r="E32" s="56"/>
      <c r="F32" s="56"/>
    </row>
    <row r="33" spans="1:6" x14ac:dyDescent="0.2">
      <c r="A33" s="56"/>
      <c r="B33" s="76"/>
      <c r="C33" s="56"/>
      <c r="D33" s="88"/>
      <c r="E33" s="90">
        <f>SUM(D20:D33)</f>
        <v>-1335520490.2778332</v>
      </c>
      <c r="F33" s="56"/>
    </row>
    <row r="34" spans="1:6" x14ac:dyDescent="0.2">
      <c r="A34" s="56"/>
      <c r="B34" s="76"/>
      <c r="C34" s="56"/>
      <c r="D34" s="92"/>
      <c r="E34" s="92"/>
      <c r="F34" s="56"/>
    </row>
    <row r="35" spans="1:6" x14ac:dyDescent="0.2">
      <c r="A35" s="56"/>
      <c r="B35" s="56"/>
      <c r="C35" s="56"/>
      <c r="D35" s="88"/>
      <c r="E35" s="88"/>
      <c r="F35" s="56"/>
    </row>
    <row r="36" spans="1:6" s="9" customFormat="1" ht="12.75" thickBot="1" x14ac:dyDescent="0.25">
      <c r="A36" s="58"/>
      <c r="B36" s="58" t="s">
        <v>114</v>
      </c>
      <c r="C36" s="58"/>
      <c r="D36" s="56"/>
      <c r="E36" s="93">
        <f>SUM(E6:E33)</f>
        <v>1718814183.6790688</v>
      </c>
      <c r="F36" s="58"/>
    </row>
    <row r="37" spans="1:6" ht="12.75" thickTop="1" x14ac:dyDescent="0.2">
      <c r="A37" s="56"/>
      <c r="B37" s="56"/>
      <c r="C37" s="56"/>
      <c r="D37" s="88"/>
      <c r="E37" s="88"/>
      <c r="F37" s="56"/>
    </row>
    <row r="38" spans="1:6" x14ac:dyDescent="0.2">
      <c r="A38" s="56"/>
      <c r="B38" s="56"/>
      <c r="C38" s="56"/>
      <c r="D38" s="88"/>
      <c r="E38" s="88">
        <f>+E36-'1. PATRIM FISCAL'!G77</f>
        <v>0</v>
      </c>
      <c r="F38" s="56"/>
    </row>
    <row r="39" spans="1:6" x14ac:dyDescent="0.2">
      <c r="D39" s="10"/>
      <c r="E39" s="10"/>
    </row>
    <row r="40" spans="1:6" x14ac:dyDescent="0.2">
      <c r="D40" s="10"/>
      <c r="E40" s="10"/>
    </row>
    <row r="41" spans="1:6" x14ac:dyDescent="0.2">
      <c r="D41" s="10"/>
      <c r="E41" s="10"/>
    </row>
    <row r="54" spans="4:5" x14ac:dyDescent="0.2">
      <c r="D54" s="10"/>
      <c r="E54" s="10"/>
    </row>
    <row r="55" spans="4:5" x14ac:dyDescent="0.2">
      <c r="D55" s="10"/>
      <c r="E55" s="10"/>
    </row>
    <row r="56" spans="4:5" x14ac:dyDescent="0.2">
      <c r="D56" s="10"/>
      <c r="E56" s="10"/>
    </row>
    <row r="57" spans="4:5" x14ac:dyDescent="0.2">
      <c r="D57" s="10"/>
      <c r="E57" s="10"/>
    </row>
    <row r="58" spans="4:5" x14ac:dyDescent="0.2">
      <c r="D58" s="10"/>
      <c r="E58" s="10"/>
    </row>
    <row r="59" spans="4:5" x14ac:dyDescent="0.2">
      <c r="D59" s="10"/>
      <c r="E59" s="10"/>
    </row>
    <row r="60" spans="4:5" x14ac:dyDescent="0.2">
      <c r="D60" s="10"/>
      <c r="E60" s="10"/>
    </row>
    <row r="61" spans="4:5" x14ac:dyDescent="0.2">
      <c r="D61" s="10"/>
      <c r="E61" s="10"/>
    </row>
    <row r="62" spans="4:5" x14ac:dyDescent="0.2">
      <c r="D62" s="10"/>
      <c r="E62" s="10"/>
    </row>
    <row r="63" spans="4:5" x14ac:dyDescent="0.2">
      <c r="D63" s="10"/>
      <c r="E63" s="10"/>
    </row>
    <row r="64" spans="4:5" x14ac:dyDescent="0.2">
      <c r="D64" s="10"/>
      <c r="E64" s="10"/>
    </row>
    <row r="65" spans="4:5" x14ac:dyDescent="0.2">
      <c r="D65" s="10"/>
      <c r="E65" s="10"/>
    </row>
    <row r="66" spans="4:5" x14ac:dyDescent="0.2">
      <c r="D66" s="10"/>
      <c r="E66" s="10"/>
    </row>
    <row r="67" spans="4:5" x14ac:dyDescent="0.2">
      <c r="D67" s="10"/>
      <c r="E67" s="10"/>
    </row>
    <row r="68" spans="4:5" x14ac:dyDescent="0.2">
      <c r="D68" s="10"/>
      <c r="E68" s="10"/>
    </row>
    <row r="69" spans="4:5" x14ac:dyDescent="0.2">
      <c r="D69" s="10"/>
      <c r="E69" s="10"/>
    </row>
    <row r="70" spans="4:5" x14ac:dyDescent="0.2">
      <c r="D70" s="10"/>
      <c r="E70" s="10"/>
    </row>
    <row r="71" spans="4:5" x14ac:dyDescent="0.2">
      <c r="D71" s="10"/>
      <c r="E71" s="10"/>
    </row>
    <row r="72" spans="4:5" x14ac:dyDescent="0.2">
      <c r="D72" s="10"/>
      <c r="E72" s="10"/>
    </row>
    <row r="73" spans="4:5" x14ac:dyDescent="0.2">
      <c r="D73" s="10"/>
      <c r="E73" s="10"/>
    </row>
    <row r="74" spans="4:5" x14ac:dyDescent="0.2">
      <c r="D74" s="10"/>
      <c r="E74" s="10"/>
    </row>
    <row r="75" spans="4:5" x14ac:dyDescent="0.2">
      <c r="D75" s="10"/>
      <c r="E75" s="10"/>
    </row>
    <row r="76" spans="4:5" x14ac:dyDescent="0.2">
      <c r="D76" s="10"/>
      <c r="E76" s="10"/>
    </row>
    <row r="77" spans="4:5" x14ac:dyDescent="0.2">
      <c r="D77" s="10"/>
      <c r="E77" s="10"/>
    </row>
    <row r="78" spans="4:5" x14ac:dyDescent="0.2">
      <c r="D78" s="10"/>
      <c r="E78" s="10"/>
    </row>
    <row r="79" spans="4:5" x14ac:dyDescent="0.2">
      <c r="D79" s="10"/>
      <c r="E79" s="10"/>
    </row>
    <row r="80" spans="4:5" x14ac:dyDescent="0.2">
      <c r="D80" s="10"/>
      <c r="E80" s="10"/>
    </row>
    <row r="81" spans="4:5" x14ac:dyDescent="0.2">
      <c r="D81" s="10"/>
      <c r="E81" s="10"/>
    </row>
    <row r="82" spans="4:5" x14ac:dyDescent="0.2">
      <c r="D82" s="10"/>
      <c r="E82" s="10"/>
    </row>
    <row r="83" spans="4:5" x14ac:dyDescent="0.2">
      <c r="D83" s="10"/>
      <c r="E83" s="10"/>
    </row>
    <row r="84" spans="4:5" x14ac:dyDescent="0.2">
      <c r="D84" s="10"/>
      <c r="E84" s="10"/>
    </row>
    <row r="85" spans="4:5" x14ac:dyDescent="0.2">
      <c r="D85" s="10"/>
      <c r="E85" s="10"/>
    </row>
    <row r="86" spans="4:5" x14ac:dyDescent="0.2">
      <c r="D86" s="10"/>
      <c r="E86" s="10"/>
    </row>
    <row r="87" spans="4:5" x14ac:dyDescent="0.2">
      <c r="D87" s="10"/>
      <c r="E87" s="10"/>
    </row>
    <row r="88" spans="4:5" x14ac:dyDescent="0.2">
      <c r="D88" s="10"/>
      <c r="E88" s="10"/>
    </row>
    <row r="89" spans="4:5" x14ac:dyDescent="0.2">
      <c r="D89" s="10"/>
      <c r="E89" s="10"/>
    </row>
    <row r="90" spans="4:5" x14ac:dyDescent="0.2">
      <c r="D90" s="10"/>
      <c r="E90" s="10"/>
    </row>
    <row r="91" spans="4:5" x14ac:dyDescent="0.2">
      <c r="D91" s="10"/>
      <c r="E91" s="10"/>
    </row>
    <row r="92" spans="4:5" x14ac:dyDescent="0.2">
      <c r="D92" s="10"/>
      <c r="E92" s="10"/>
    </row>
    <row r="93" spans="4:5" x14ac:dyDescent="0.2">
      <c r="D93" s="10"/>
      <c r="E93" s="10"/>
    </row>
    <row r="94" spans="4:5" x14ac:dyDescent="0.2">
      <c r="D94" s="10"/>
      <c r="E94" s="10"/>
    </row>
    <row r="95" spans="4:5" x14ac:dyDescent="0.2">
      <c r="D95" s="10"/>
      <c r="E95" s="10"/>
    </row>
    <row r="96" spans="4:5" x14ac:dyDescent="0.2">
      <c r="D96" s="10"/>
      <c r="E96" s="10"/>
    </row>
    <row r="97" spans="4:5" x14ac:dyDescent="0.2">
      <c r="D97" s="10"/>
      <c r="E97" s="10"/>
    </row>
    <row r="98" spans="4:5" x14ac:dyDescent="0.2">
      <c r="D98" s="10"/>
      <c r="E98" s="10"/>
    </row>
    <row r="99" spans="4:5" x14ac:dyDescent="0.2">
      <c r="D99" s="10"/>
      <c r="E99" s="10"/>
    </row>
    <row r="100" spans="4:5" x14ac:dyDescent="0.2">
      <c r="D100" s="10"/>
      <c r="E100" s="10"/>
    </row>
    <row r="101" spans="4:5" x14ac:dyDescent="0.2">
      <c r="D101" s="10"/>
      <c r="E101" s="10"/>
    </row>
    <row r="102" spans="4:5" x14ac:dyDescent="0.2">
      <c r="D102" s="10"/>
      <c r="E102" s="10"/>
    </row>
    <row r="103" spans="4:5" x14ac:dyDescent="0.2">
      <c r="D103" s="10"/>
      <c r="E103" s="10"/>
    </row>
    <row r="104" spans="4:5" x14ac:dyDescent="0.2">
      <c r="D104" s="10"/>
      <c r="E104" s="10"/>
    </row>
    <row r="105" spans="4:5" x14ac:dyDescent="0.2">
      <c r="D105" s="10"/>
      <c r="E105" s="10"/>
    </row>
    <row r="106" spans="4:5" x14ac:dyDescent="0.2">
      <c r="D106" s="10"/>
      <c r="E106" s="10"/>
    </row>
    <row r="107" spans="4:5" x14ac:dyDescent="0.2">
      <c r="D107" s="10"/>
      <c r="E107" s="10"/>
    </row>
    <row r="108" spans="4:5" x14ac:dyDescent="0.2">
      <c r="D108" s="10"/>
      <c r="E108" s="10"/>
    </row>
    <row r="109" spans="4:5" x14ac:dyDescent="0.2">
      <c r="D109" s="10"/>
      <c r="E109" s="10"/>
    </row>
    <row r="110" spans="4:5" x14ac:dyDescent="0.2">
      <c r="D110" s="10"/>
      <c r="E110" s="10"/>
    </row>
    <row r="111" spans="4:5" x14ac:dyDescent="0.2">
      <c r="D111" s="10"/>
      <c r="E111" s="10"/>
    </row>
    <row r="112" spans="4:5" x14ac:dyDescent="0.2">
      <c r="D112" s="10"/>
      <c r="E112" s="10"/>
    </row>
    <row r="113" spans="4:5" x14ac:dyDescent="0.2">
      <c r="D113" s="10"/>
      <c r="E113" s="10"/>
    </row>
    <row r="114" spans="4:5" x14ac:dyDescent="0.2">
      <c r="D114" s="10"/>
      <c r="E114" s="10"/>
    </row>
    <row r="115" spans="4:5" x14ac:dyDescent="0.2">
      <c r="D115" s="10"/>
      <c r="E115" s="10"/>
    </row>
    <row r="116" spans="4:5" x14ac:dyDescent="0.2">
      <c r="D116" s="10"/>
      <c r="E116" s="10"/>
    </row>
    <row r="117" spans="4:5" x14ac:dyDescent="0.2">
      <c r="D117" s="10"/>
      <c r="E117" s="10"/>
    </row>
    <row r="118" spans="4:5" x14ac:dyDescent="0.2">
      <c r="D118" s="10"/>
      <c r="E118" s="10"/>
    </row>
    <row r="119" spans="4:5" x14ac:dyDescent="0.2">
      <c r="D119" s="10"/>
      <c r="E119" s="10"/>
    </row>
    <row r="120" spans="4:5" x14ac:dyDescent="0.2">
      <c r="D120" s="10"/>
      <c r="E120" s="10"/>
    </row>
    <row r="121" spans="4:5" x14ac:dyDescent="0.2">
      <c r="D121" s="10"/>
      <c r="E121" s="10"/>
    </row>
    <row r="122" spans="4:5" x14ac:dyDescent="0.2">
      <c r="D122" s="10"/>
      <c r="E122" s="10"/>
    </row>
    <row r="123" spans="4:5" x14ac:dyDescent="0.2">
      <c r="D123" s="10"/>
      <c r="E123" s="10"/>
    </row>
    <row r="124" spans="4:5" x14ac:dyDescent="0.2">
      <c r="D124" s="10"/>
      <c r="E124" s="10"/>
    </row>
    <row r="125" spans="4:5" x14ac:dyDescent="0.2">
      <c r="D125" s="10"/>
      <c r="E125" s="10"/>
    </row>
    <row r="126" spans="4:5" x14ac:dyDescent="0.2">
      <c r="D126" s="10"/>
      <c r="E126" s="10"/>
    </row>
    <row r="127" spans="4:5" x14ac:dyDescent="0.2">
      <c r="D127" s="10"/>
      <c r="E127" s="10"/>
    </row>
    <row r="128" spans="4:5" x14ac:dyDescent="0.2">
      <c r="D128" s="10"/>
      <c r="E128" s="10"/>
    </row>
    <row r="129" spans="4:5" x14ac:dyDescent="0.2">
      <c r="D129" s="10"/>
      <c r="E129" s="10"/>
    </row>
    <row r="130" spans="4:5" x14ac:dyDescent="0.2">
      <c r="D130" s="10"/>
      <c r="E130" s="10"/>
    </row>
    <row r="131" spans="4:5" x14ac:dyDescent="0.2">
      <c r="D131" s="10"/>
      <c r="E131" s="10"/>
    </row>
    <row r="132" spans="4:5" x14ac:dyDescent="0.2">
      <c r="D132" s="10"/>
      <c r="E132" s="10"/>
    </row>
    <row r="133" spans="4:5" x14ac:dyDescent="0.2">
      <c r="D133" s="10"/>
      <c r="E133" s="10"/>
    </row>
    <row r="134" spans="4:5" x14ac:dyDescent="0.2">
      <c r="D134" s="10"/>
      <c r="E134" s="10"/>
    </row>
  </sheetData>
  <sheetProtection algorithmName="SHA-512" hashValue="YwO0c6Oe52KJ9FGi4eBmDYPEV2hkfGQdsmClTYxUXOhfx3/RvaMh1+6ujcpGU5hsLQ0Xg7UcWmMI7hnjITmxAg==" saltValue="liSmz2j/U6OClDvpcUqRew==" spinCount="100000" sheet="1" objects="1" scenarios="1"/>
  <phoneticPr fontId="7" type="noConversion"/>
  <printOptions horizontalCentered="1" verticalCentered="1"/>
  <pageMargins left="0.43307086614173229" right="0.51181102362204722" top="0.59055118110236227" bottom="0.59055118110236227" header="0.51181102362204722" footer="0.51181102362204722"/>
  <pageSetup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E23:E25 D23:D25 B1:B4 E7:E10 D11 D26 E11 D22 D12 E12 E26 D27:D35 E27:E39 D13:D15 E13:E15 D16:D21 E16:E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1"/>
  <sheetViews>
    <sheetView topLeftCell="A3" zoomScale="120" zoomScaleNormal="120" workbookViewId="0">
      <pane xSplit="1" ySplit="6" topLeftCell="B9" activePane="bottomRight" state="frozen"/>
      <selection activeCell="B35" sqref="B35"/>
      <selection pane="topRight" activeCell="B35" sqref="B35"/>
      <selection pane="bottomLeft" activeCell="B35" sqref="B35"/>
      <selection pane="bottomRight" activeCell="I15" sqref="I15"/>
    </sheetView>
  </sheetViews>
  <sheetFormatPr baseColWidth="10" defaultRowHeight="12" x14ac:dyDescent="0.2"/>
  <cols>
    <col min="1" max="1" width="39.7109375" style="5" customWidth="1"/>
    <col min="2" max="2" width="12.7109375" style="2" customWidth="1"/>
    <col min="3" max="3" width="1.7109375" style="2" customWidth="1"/>
    <col min="4" max="4" width="11.7109375" style="2" customWidth="1"/>
    <col min="5" max="5" width="13.140625" style="2" customWidth="1"/>
    <col min="6" max="6" width="1.7109375" style="2" customWidth="1"/>
    <col min="7" max="7" width="12.85546875" style="2" bestFit="1" customWidth="1"/>
    <col min="8" max="8" width="1.7109375" style="2" customWidth="1"/>
    <col min="9" max="9" width="12.7109375" style="2" customWidth="1"/>
    <col min="10" max="10" width="1.7109375" style="5" customWidth="1"/>
    <col min="11" max="11" width="7.85546875" style="8" bestFit="1" customWidth="1"/>
    <col min="12" max="12" width="12.7109375" style="5" customWidth="1"/>
    <col min="13" max="13" width="1.42578125" style="5" customWidth="1"/>
    <col min="14" max="14" width="9.85546875" style="5" bestFit="1" customWidth="1"/>
    <col min="15" max="15" width="12.28515625" style="5" bestFit="1" customWidth="1"/>
    <col min="16" max="16384" width="11.42578125" style="5"/>
  </cols>
  <sheetData>
    <row r="1" spans="1:14" ht="12.75" customHeight="1" x14ac:dyDescent="0.2">
      <c r="A1" s="54" t="str">
        <f>+'1. PATRIM FISCAL'!A1</f>
        <v>EL EXPERTO S.A.S.</v>
      </c>
      <c r="B1" s="82"/>
      <c r="C1" s="78"/>
      <c r="D1" s="78"/>
      <c r="E1" s="78"/>
      <c r="F1" s="78"/>
      <c r="G1" s="78"/>
      <c r="H1" s="78"/>
      <c r="I1" s="78"/>
      <c r="J1" s="56"/>
      <c r="K1" s="57"/>
    </row>
    <row r="2" spans="1:14" ht="12.75" customHeight="1" x14ac:dyDescent="0.2">
      <c r="A2" s="54" t="str">
        <f>+'1. PATRIM FISCAL'!A2</f>
        <v>NIT 890.378.233 - 1</v>
      </c>
      <c r="B2" s="82"/>
      <c r="C2" s="78"/>
      <c r="D2" s="78"/>
      <c r="E2" s="78"/>
      <c r="F2" s="78"/>
      <c r="G2" s="78"/>
      <c r="H2" s="78"/>
      <c r="I2" s="78"/>
      <c r="J2" s="56"/>
      <c r="K2" s="57"/>
    </row>
    <row r="3" spans="1:14" ht="12.75" customHeight="1" x14ac:dyDescent="0.2">
      <c r="A3" s="54" t="str">
        <f>+'1. PATRIM FISCAL'!A3</f>
        <v>DECLARACION DE RENTA AÑO GRAVABLE 2024</v>
      </c>
      <c r="B3" s="82"/>
      <c r="C3" s="78"/>
      <c r="D3" s="78"/>
      <c r="E3" s="78"/>
      <c r="F3" s="78"/>
      <c r="G3" s="78"/>
      <c r="H3" s="78"/>
      <c r="I3" s="94" t="s">
        <v>18</v>
      </c>
      <c r="J3" s="56"/>
      <c r="K3" s="57"/>
    </row>
    <row r="4" spans="1:14" ht="12.75" customHeight="1" x14ac:dyDescent="0.2">
      <c r="A4" s="54" t="s">
        <v>348</v>
      </c>
      <c r="B4" s="81"/>
      <c r="C4" s="78"/>
      <c r="D4" s="78"/>
      <c r="E4" s="78"/>
      <c r="F4" s="78"/>
      <c r="G4" s="78"/>
      <c r="H4" s="78"/>
      <c r="I4" s="78"/>
      <c r="J4" s="56"/>
      <c r="K4" s="57"/>
      <c r="L4" s="12"/>
    </row>
    <row r="5" spans="1:14" ht="12.75" customHeight="1" x14ac:dyDescent="0.2">
      <c r="A5" s="61"/>
      <c r="B5" s="81"/>
      <c r="C5" s="78"/>
      <c r="D5" s="78"/>
      <c r="E5" s="78"/>
      <c r="F5" s="78"/>
      <c r="G5" s="78"/>
      <c r="H5" s="78"/>
      <c r="I5" s="78"/>
      <c r="J5" s="56"/>
      <c r="K5" s="57"/>
      <c r="L5" s="12"/>
    </row>
    <row r="6" spans="1:14" ht="12.75" customHeight="1" x14ac:dyDescent="0.2">
      <c r="A6" s="61"/>
      <c r="B6" s="95" t="str">
        <f>+'1. PATRIM FISCAL'!B6</f>
        <v xml:space="preserve">SALDO </v>
      </c>
      <c r="C6" s="96"/>
      <c r="D6" s="97" t="s">
        <v>2</v>
      </c>
      <c r="E6" s="98"/>
      <c r="F6" s="78"/>
      <c r="G6" s="99" t="s">
        <v>3</v>
      </c>
      <c r="H6" s="78"/>
      <c r="I6" s="99" t="s">
        <v>3</v>
      </c>
      <c r="J6" s="56"/>
      <c r="K6" s="65" t="s">
        <v>451</v>
      </c>
      <c r="L6" s="12"/>
    </row>
    <row r="7" spans="1:14" ht="12.75" customHeight="1" x14ac:dyDescent="0.2">
      <c r="A7" s="61"/>
      <c r="B7" s="100" t="str">
        <f>+'1. PATRIM FISCAL'!B7</f>
        <v>CONTABLE</v>
      </c>
      <c r="C7" s="96"/>
      <c r="D7" s="101" t="s">
        <v>5</v>
      </c>
      <c r="E7" s="102"/>
      <c r="F7" s="78"/>
      <c r="G7" s="103" t="s">
        <v>19</v>
      </c>
      <c r="H7" s="78"/>
      <c r="I7" s="103" t="s">
        <v>184</v>
      </c>
      <c r="J7" s="56"/>
      <c r="K7" s="103" t="s">
        <v>452</v>
      </c>
      <c r="L7" s="12"/>
    </row>
    <row r="8" spans="1:14" ht="12.75" customHeight="1" x14ac:dyDescent="0.2">
      <c r="A8" s="61"/>
      <c r="B8" s="71" t="str">
        <f>+'1. PATRIM FISCAL'!B8</f>
        <v xml:space="preserve"> 31-12-24</v>
      </c>
      <c r="C8" s="96"/>
      <c r="D8" s="104" t="s">
        <v>7</v>
      </c>
      <c r="E8" s="104" t="s">
        <v>8</v>
      </c>
      <c r="F8" s="78"/>
      <c r="G8" s="105"/>
      <c r="H8" s="78"/>
      <c r="I8" s="71" t="str">
        <f>+B8</f>
        <v xml:space="preserve"> 31-12-24</v>
      </c>
      <c r="J8" s="56"/>
      <c r="K8" s="106" t="s">
        <v>453</v>
      </c>
      <c r="L8" s="12"/>
    </row>
    <row r="9" spans="1:14" ht="12.75" customHeight="1" x14ac:dyDescent="0.2">
      <c r="A9" s="107"/>
      <c r="B9" s="81"/>
      <c r="C9" s="78"/>
      <c r="D9" s="78"/>
      <c r="E9" s="78"/>
      <c r="F9" s="78"/>
      <c r="G9" s="78"/>
      <c r="H9" s="78"/>
      <c r="I9" s="78"/>
      <c r="J9" s="56"/>
      <c r="K9" s="57"/>
      <c r="L9" s="14" t="s">
        <v>12</v>
      </c>
      <c r="M9" s="1"/>
      <c r="N9" s="1" t="s">
        <v>12</v>
      </c>
    </row>
    <row r="10" spans="1:14" ht="12.75" customHeight="1" x14ac:dyDescent="0.2">
      <c r="A10" s="108" t="s">
        <v>331</v>
      </c>
      <c r="B10" s="78"/>
      <c r="C10" s="78"/>
      <c r="D10" s="78"/>
      <c r="E10" s="78"/>
      <c r="F10" s="78"/>
      <c r="G10" s="78"/>
      <c r="H10" s="78"/>
      <c r="I10" s="78"/>
      <c r="J10" s="56"/>
      <c r="K10" s="57"/>
      <c r="L10" s="14" t="s">
        <v>12</v>
      </c>
      <c r="M10" s="1"/>
      <c r="N10" s="1"/>
    </row>
    <row r="11" spans="1:14" ht="12.75" customHeight="1" x14ac:dyDescent="0.2">
      <c r="A11" s="56" t="s">
        <v>21</v>
      </c>
      <c r="B11" s="79">
        <v>2297000000</v>
      </c>
      <c r="C11" s="79"/>
      <c r="D11" s="79"/>
      <c r="E11" s="79"/>
      <c r="F11" s="79"/>
      <c r="G11" s="79">
        <f>+B11+E11-D11</f>
        <v>2297000000</v>
      </c>
      <c r="H11" s="79"/>
      <c r="I11" s="79"/>
      <c r="J11" s="56"/>
      <c r="K11" s="57"/>
      <c r="L11" s="14" t="s">
        <v>12</v>
      </c>
    </row>
    <row r="12" spans="1:14" ht="12.75" customHeight="1" x14ac:dyDescent="0.2">
      <c r="A12" s="56" t="s">
        <v>20</v>
      </c>
      <c r="B12" s="79">
        <v>1529680000</v>
      </c>
      <c r="C12" s="79"/>
      <c r="D12" s="79"/>
      <c r="E12" s="79"/>
      <c r="F12" s="79"/>
      <c r="G12" s="79">
        <f>+B12+E12-D12</f>
        <v>1529680000</v>
      </c>
      <c r="H12" s="79"/>
      <c r="I12" s="79"/>
      <c r="J12" s="56"/>
      <c r="K12" s="57"/>
      <c r="L12" s="14" t="s">
        <v>12</v>
      </c>
    </row>
    <row r="13" spans="1:14" ht="12.75" customHeight="1" x14ac:dyDescent="0.2">
      <c r="A13" s="56" t="s">
        <v>297</v>
      </c>
      <c r="B13" s="79">
        <f>132029000</f>
        <v>132029000</v>
      </c>
      <c r="C13" s="79"/>
      <c r="D13" s="79"/>
      <c r="E13" s="79"/>
      <c r="F13" s="79"/>
      <c r="G13" s="79">
        <f>+B13+E13-D13</f>
        <v>132029000</v>
      </c>
      <c r="H13" s="79"/>
      <c r="I13" s="79"/>
      <c r="J13" s="56"/>
      <c r="K13" s="57"/>
      <c r="L13" s="14" t="s">
        <v>12</v>
      </c>
      <c r="N13" s="8"/>
    </row>
    <row r="14" spans="1:14" ht="12.75" customHeight="1" x14ac:dyDescent="0.2">
      <c r="A14" s="76" t="s">
        <v>322</v>
      </c>
      <c r="B14" s="79">
        <f>+'10. INGRESOS'!E53</f>
        <v>86000000</v>
      </c>
      <c r="C14" s="79"/>
      <c r="D14" s="79"/>
      <c r="E14" s="79"/>
      <c r="F14" s="79"/>
      <c r="G14" s="79">
        <f>+B14+E14-D14</f>
        <v>86000000</v>
      </c>
      <c r="H14" s="79"/>
      <c r="I14" s="79"/>
      <c r="J14" s="56"/>
      <c r="K14" s="57"/>
      <c r="L14" s="14" t="s">
        <v>12</v>
      </c>
    </row>
    <row r="15" spans="1:14" ht="12.75" customHeight="1" x14ac:dyDescent="0.2">
      <c r="A15" s="58" t="s">
        <v>333</v>
      </c>
      <c r="B15" s="109">
        <f>SUM(B11:B14)</f>
        <v>4044709000</v>
      </c>
      <c r="C15" s="78"/>
      <c r="D15" s="78"/>
      <c r="E15" s="78"/>
      <c r="F15" s="78"/>
      <c r="G15" s="109">
        <f>SUM(G11:G14)</f>
        <v>4044709000</v>
      </c>
      <c r="H15" s="78"/>
      <c r="I15" s="96">
        <f>ROUND(G15,-3)</f>
        <v>4044709000</v>
      </c>
      <c r="J15" s="56"/>
      <c r="K15" s="57">
        <f>+'1. PATRIM FISCAL'!I77+1</f>
        <v>47</v>
      </c>
      <c r="L15" s="14" t="s">
        <v>12</v>
      </c>
    </row>
    <row r="16" spans="1:14" ht="12.75" customHeight="1" x14ac:dyDescent="0.2">
      <c r="A16" s="58"/>
      <c r="B16" s="96"/>
      <c r="C16" s="78"/>
      <c r="D16" s="78"/>
      <c r="E16" s="78"/>
      <c r="F16" s="78"/>
      <c r="G16" s="110"/>
      <c r="H16" s="78"/>
      <c r="I16" s="78"/>
      <c r="J16" s="56"/>
      <c r="K16" s="57"/>
      <c r="L16" s="14" t="s">
        <v>12</v>
      </c>
      <c r="M16" s="9"/>
      <c r="N16" s="1"/>
    </row>
    <row r="17" spans="1:14" ht="12.75" customHeight="1" x14ac:dyDescent="0.2">
      <c r="A17" s="108" t="s">
        <v>332</v>
      </c>
      <c r="B17" s="96"/>
      <c r="C17" s="78"/>
      <c r="D17" s="96"/>
      <c r="E17" s="96"/>
      <c r="F17" s="78"/>
      <c r="G17" s="78"/>
      <c r="H17" s="78"/>
      <c r="I17" s="96"/>
      <c r="J17" s="56"/>
      <c r="K17" s="57"/>
    </row>
    <row r="18" spans="1:14" ht="12.75" customHeight="1" x14ac:dyDescent="0.2">
      <c r="A18" s="111" t="s">
        <v>145</v>
      </c>
      <c r="B18" s="79">
        <v>43728000</v>
      </c>
      <c r="C18" s="79"/>
      <c r="D18" s="79"/>
      <c r="E18" s="79"/>
      <c r="F18" s="79"/>
      <c r="G18" s="79">
        <f t="shared" ref="G18:G22" si="0">+B18+E18-D18</f>
        <v>43728000</v>
      </c>
      <c r="H18" s="79"/>
      <c r="I18" s="79"/>
      <c r="J18" s="56"/>
      <c r="K18" s="57"/>
      <c r="L18" s="15"/>
      <c r="N18" s="8"/>
    </row>
    <row r="19" spans="1:14" ht="12.75" customHeight="1" x14ac:dyDescent="0.2">
      <c r="A19" s="111" t="s">
        <v>541</v>
      </c>
      <c r="B19" s="79">
        <f>+'4. CDT - CxC'!F15</f>
        <v>13023960</v>
      </c>
      <c r="C19" s="79"/>
      <c r="D19" s="79"/>
      <c r="E19" s="79"/>
      <c r="F19" s="79"/>
      <c r="G19" s="79">
        <f t="shared" si="0"/>
        <v>13023960</v>
      </c>
      <c r="H19" s="79"/>
      <c r="I19" s="79"/>
      <c r="J19" s="56"/>
      <c r="K19" s="57"/>
      <c r="L19" s="15"/>
      <c r="N19" s="8"/>
    </row>
    <row r="20" spans="1:14" ht="12.75" customHeight="1" x14ac:dyDescent="0.2">
      <c r="A20" s="111" t="s">
        <v>387</v>
      </c>
      <c r="B20" s="79">
        <f>+'4. CDT - CxC'!G17</f>
        <v>25118489.999999963</v>
      </c>
      <c r="C20" s="79"/>
      <c r="D20" s="79">
        <f>+'4. CDT - CxC'!G17</f>
        <v>25118489.999999963</v>
      </c>
      <c r="E20" s="79"/>
      <c r="F20" s="79"/>
      <c r="G20" s="79">
        <f t="shared" si="0"/>
        <v>0</v>
      </c>
      <c r="H20" s="79"/>
      <c r="I20" s="79"/>
      <c r="J20" s="56"/>
      <c r="K20" s="57"/>
      <c r="L20" s="15"/>
      <c r="N20" s="8"/>
    </row>
    <row r="21" spans="1:14" ht="12.75" customHeight="1" x14ac:dyDescent="0.2">
      <c r="A21" s="111" t="s">
        <v>386</v>
      </c>
      <c r="B21" s="79">
        <f>45068300+17273000</f>
        <v>62341300</v>
      </c>
      <c r="C21" s="79"/>
      <c r="D21" s="79">
        <f>IF('4. CDT - CxC'!G41&gt;0,'4. CDT - CxC'!G41,0)</f>
        <v>26564703.999999914</v>
      </c>
      <c r="E21" s="79">
        <v>0</v>
      </c>
      <c r="F21" s="79"/>
      <c r="G21" s="79">
        <f t="shared" si="0"/>
        <v>35776596.000000089</v>
      </c>
      <c r="H21" s="79"/>
      <c r="I21" s="79"/>
      <c r="J21" s="56"/>
      <c r="K21" s="57"/>
      <c r="L21" s="15"/>
      <c r="N21" s="8"/>
    </row>
    <row r="22" spans="1:14" ht="12.75" customHeight="1" x14ac:dyDescent="0.2">
      <c r="A22" s="76" t="s">
        <v>22</v>
      </c>
      <c r="B22" s="79"/>
      <c r="C22" s="79"/>
      <c r="D22" s="79"/>
      <c r="E22" s="79">
        <f>'10. INGRESOS'!G37</f>
        <v>11262375.000000002</v>
      </c>
      <c r="F22" s="79"/>
      <c r="G22" s="79">
        <f t="shared" si="0"/>
        <v>11262375.000000002</v>
      </c>
      <c r="H22" s="79"/>
      <c r="I22" s="79"/>
      <c r="J22" s="56"/>
      <c r="K22" s="57"/>
      <c r="L22" s="15" t="s">
        <v>12</v>
      </c>
      <c r="N22" s="8" t="s">
        <v>12</v>
      </c>
    </row>
    <row r="23" spans="1:14" ht="12.75" customHeight="1" x14ac:dyDescent="0.2">
      <c r="A23" s="58" t="s">
        <v>333</v>
      </c>
      <c r="B23" s="109">
        <f>SUM(B18:B22)</f>
        <v>144211749.99999997</v>
      </c>
      <c r="C23" s="78"/>
      <c r="D23" s="96"/>
      <c r="E23" s="96"/>
      <c r="F23" s="78"/>
      <c r="G23" s="109">
        <f>SUM(G18:G22)</f>
        <v>103790931.00000009</v>
      </c>
      <c r="H23" s="78"/>
      <c r="I23" s="96">
        <f>ROUND(G23,-3)</f>
        <v>103791000</v>
      </c>
      <c r="J23" s="56"/>
      <c r="K23" s="57">
        <f>+K15+1</f>
        <v>48</v>
      </c>
    </row>
    <row r="24" spans="1:14" ht="12.75" customHeight="1" x14ac:dyDescent="0.2">
      <c r="A24" s="58"/>
      <c r="B24" s="96"/>
      <c r="C24" s="78"/>
      <c r="D24" s="96"/>
      <c r="E24" s="96"/>
      <c r="F24" s="78"/>
      <c r="G24" s="78"/>
      <c r="H24" s="78"/>
      <c r="I24" s="96"/>
      <c r="J24" s="56"/>
      <c r="K24" s="57"/>
    </row>
    <row r="25" spans="1:14" ht="12.75" customHeight="1" x14ac:dyDescent="0.2">
      <c r="A25" s="108" t="s">
        <v>285</v>
      </c>
      <c r="B25" s="96"/>
      <c r="C25" s="78"/>
      <c r="D25" s="96"/>
      <c r="E25" s="96"/>
      <c r="F25" s="78"/>
      <c r="G25" s="78"/>
      <c r="H25" s="78"/>
      <c r="I25" s="96"/>
      <c r="J25" s="56"/>
      <c r="K25" s="57"/>
    </row>
    <row r="26" spans="1:14" ht="12.75" customHeight="1" x14ac:dyDescent="0.2">
      <c r="A26" s="56" t="s">
        <v>462</v>
      </c>
      <c r="B26" s="78">
        <f>'10. INGRESOS'!E19-'10. INGRESOS'!F14</f>
        <v>34560000</v>
      </c>
      <c r="C26" s="79"/>
      <c r="D26" s="79"/>
      <c r="E26" s="79">
        <f>+'10. INGRESOS'!D17</f>
        <v>52615000</v>
      </c>
      <c r="F26" s="79"/>
      <c r="G26" s="79">
        <f>+B26+E26-D26</f>
        <v>87175000</v>
      </c>
      <c r="H26" s="79"/>
      <c r="I26" s="78">
        <f>ROUND(G26,-3)</f>
        <v>87175000</v>
      </c>
      <c r="J26" s="56"/>
      <c r="K26" s="57">
        <f>+K23+1</f>
        <v>49</v>
      </c>
    </row>
    <row r="27" spans="1:14" ht="12.75" customHeight="1" x14ac:dyDescent="0.2">
      <c r="A27" s="56" t="s">
        <v>518</v>
      </c>
      <c r="B27" s="78">
        <f>+'10. INGRESOS'!F14</f>
        <v>4590000</v>
      </c>
      <c r="C27" s="78"/>
      <c r="D27" s="78"/>
      <c r="E27" s="78"/>
      <c r="F27" s="78"/>
      <c r="G27" s="79">
        <f>+B27+E27-D27</f>
        <v>4590000</v>
      </c>
      <c r="H27" s="78"/>
      <c r="I27" s="78">
        <f>ROUND(G27,-3)</f>
        <v>4590000</v>
      </c>
      <c r="J27" s="56"/>
      <c r="K27" s="57">
        <v>51</v>
      </c>
    </row>
    <row r="28" spans="1:14" ht="12.75" customHeight="1" x14ac:dyDescent="0.2">
      <c r="A28" s="58"/>
      <c r="B28" s="96"/>
      <c r="C28" s="78"/>
      <c r="D28" s="96"/>
      <c r="E28" s="96"/>
      <c r="F28" s="78"/>
      <c r="G28" s="78"/>
      <c r="H28" s="78"/>
      <c r="I28" s="78"/>
      <c r="J28" s="56"/>
      <c r="K28" s="57"/>
    </row>
    <row r="29" spans="1:14" ht="12.75" customHeight="1" x14ac:dyDescent="0.2">
      <c r="A29" s="108" t="s">
        <v>334</v>
      </c>
      <c r="B29" s="78"/>
      <c r="C29" s="78"/>
      <c r="D29" s="78"/>
      <c r="E29" s="78"/>
      <c r="F29" s="78"/>
      <c r="G29" s="110"/>
      <c r="H29" s="78"/>
      <c r="I29" s="78"/>
      <c r="J29" s="56"/>
      <c r="K29" s="57"/>
      <c r="L29" s="14" t="s">
        <v>12</v>
      </c>
      <c r="N29" s="8"/>
    </row>
    <row r="30" spans="1:14" ht="12.75" customHeight="1" x14ac:dyDescent="0.2">
      <c r="A30" s="111" t="s">
        <v>479</v>
      </c>
      <c r="B30" s="78">
        <f>IF('6. INVERSIONES'!E43+'6. INVERSIONES'!K43&gt;0,'6. INVERSIONES'!E43+'6. INVERSIONES'!K43,0)</f>
        <v>16650000</v>
      </c>
      <c r="C30" s="78"/>
      <c r="D30" s="79">
        <f t="shared" ref="D30:D35" si="1">+B30</f>
        <v>16650000</v>
      </c>
      <c r="E30" s="78">
        <v>103500000</v>
      </c>
      <c r="F30" s="78"/>
      <c r="G30" s="79">
        <f t="shared" ref="G30:G35" si="2">+B30+E30-D30</f>
        <v>103500000</v>
      </c>
      <c r="H30" s="78"/>
      <c r="I30" s="78"/>
      <c r="J30" s="56"/>
      <c r="K30" s="57"/>
      <c r="L30" s="14"/>
      <c r="N30" s="8"/>
    </row>
    <row r="31" spans="1:14" ht="12.75" customHeight="1" x14ac:dyDescent="0.2">
      <c r="A31" s="111" t="s">
        <v>485</v>
      </c>
      <c r="B31" s="79">
        <f>+'9. VTA ACT FIJOS'!E17</f>
        <v>198450000</v>
      </c>
      <c r="C31" s="79"/>
      <c r="D31" s="79">
        <f t="shared" si="1"/>
        <v>198450000</v>
      </c>
      <c r="E31" s="79"/>
      <c r="F31" s="79"/>
      <c r="G31" s="79">
        <f t="shared" si="2"/>
        <v>0</v>
      </c>
      <c r="H31" s="79"/>
      <c r="I31" s="79"/>
      <c r="J31" s="56"/>
      <c r="K31" s="57"/>
      <c r="L31" s="14" t="s">
        <v>12</v>
      </c>
      <c r="N31" s="8"/>
    </row>
    <row r="32" spans="1:14" ht="12.75" customHeight="1" x14ac:dyDescent="0.2">
      <c r="A32" s="111" t="s">
        <v>220</v>
      </c>
      <c r="B32" s="79">
        <f>+'6. INVERSIONES'!F27</f>
        <v>29158000</v>
      </c>
      <c r="C32" s="79"/>
      <c r="D32" s="79">
        <f t="shared" si="1"/>
        <v>29158000</v>
      </c>
      <c r="E32" s="79"/>
      <c r="F32" s="79"/>
      <c r="G32" s="79">
        <f t="shared" si="2"/>
        <v>0</v>
      </c>
      <c r="H32" s="79"/>
      <c r="I32" s="79"/>
      <c r="J32" s="56"/>
      <c r="K32" s="57"/>
      <c r="L32" s="14"/>
      <c r="N32" s="8"/>
    </row>
    <row r="33" spans="1:12" ht="12.75" customHeight="1" x14ac:dyDescent="0.2">
      <c r="A33" s="76" t="s">
        <v>146</v>
      </c>
      <c r="B33" s="79">
        <v>16770000</v>
      </c>
      <c r="C33" s="79"/>
      <c r="D33" s="79">
        <f t="shared" si="1"/>
        <v>16770000</v>
      </c>
      <c r="E33" s="79"/>
      <c r="F33" s="79"/>
      <c r="G33" s="79">
        <f t="shared" si="2"/>
        <v>0</v>
      </c>
      <c r="H33" s="79"/>
      <c r="I33" s="79"/>
      <c r="J33" s="56"/>
      <c r="K33" s="57"/>
    </row>
    <row r="34" spans="1:12" ht="12.75" customHeight="1" x14ac:dyDescent="0.2">
      <c r="A34" s="76" t="s">
        <v>388</v>
      </c>
      <c r="B34" s="79">
        <f>+'6. INVERSIONES'!F15</f>
        <v>34275000</v>
      </c>
      <c r="C34" s="79"/>
      <c r="D34" s="79">
        <f t="shared" si="1"/>
        <v>34275000</v>
      </c>
      <c r="E34" s="79"/>
      <c r="F34" s="79"/>
      <c r="G34" s="79">
        <f t="shared" si="2"/>
        <v>0</v>
      </c>
      <c r="H34" s="79"/>
      <c r="I34" s="79"/>
      <c r="J34" s="56"/>
      <c r="K34" s="57"/>
    </row>
    <row r="35" spans="1:12" ht="12.75" customHeight="1" x14ac:dyDescent="0.2">
      <c r="A35" s="76" t="s">
        <v>554</v>
      </c>
      <c r="B35" s="79">
        <f>IF('7. PPyE'!F17&gt;0,'7. PPyE'!F17,0)</f>
        <v>35000000</v>
      </c>
      <c r="C35" s="79"/>
      <c r="D35" s="79">
        <f t="shared" si="1"/>
        <v>35000000</v>
      </c>
      <c r="E35" s="79"/>
      <c r="F35" s="79"/>
      <c r="G35" s="79">
        <f t="shared" si="2"/>
        <v>0</v>
      </c>
      <c r="H35" s="79"/>
      <c r="I35" s="79"/>
      <c r="J35" s="56"/>
      <c r="K35" s="57"/>
    </row>
    <row r="36" spans="1:12" ht="12.75" customHeight="1" x14ac:dyDescent="0.2">
      <c r="A36" s="58" t="s">
        <v>333</v>
      </c>
      <c r="B36" s="109">
        <f>SUM(B29:B35)</f>
        <v>330303000</v>
      </c>
      <c r="C36" s="78"/>
      <c r="D36" s="78"/>
      <c r="E36" s="78"/>
      <c r="F36" s="78"/>
      <c r="G36" s="109">
        <f>SUM(G29:G35)</f>
        <v>103500000</v>
      </c>
      <c r="H36" s="78"/>
      <c r="I36" s="96">
        <f>ROUND(G36,-3)</f>
        <v>103500000</v>
      </c>
      <c r="J36" s="56"/>
      <c r="K36" s="57">
        <v>57</v>
      </c>
    </row>
    <row r="37" spans="1:12" ht="12.75" customHeight="1" x14ac:dyDescent="0.2">
      <c r="A37" s="56"/>
      <c r="B37" s="96"/>
      <c r="C37" s="78"/>
      <c r="D37" s="96"/>
      <c r="E37" s="96"/>
      <c r="F37" s="78"/>
      <c r="G37" s="78"/>
      <c r="H37" s="78"/>
      <c r="I37" s="96"/>
      <c r="J37" s="56"/>
      <c r="K37" s="57"/>
    </row>
    <row r="38" spans="1:12" ht="12.75" customHeight="1" x14ac:dyDescent="0.2">
      <c r="A38" s="58" t="s">
        <v>178</v>
      </c>
      <c r="B38" s="87">
        <f>+B15+B23+B26+B27+B36</f>
        <v>4558373750</v>
      </c>
      <c r="C38" s="78"/>
      <c r="D38" s="109">
        <f>SUM(D11:D35)</f>
        <v>381986193.99999988</v>
      </c>
      <c r="E38" s="109">
        <f>SUM(E11:E34)</f>
        <v>167377375</v>
      </c>
      <c r="F38" s="78"/>
      <c r="G38" s="87">
        <f>+G15+G23+G26+G27+G36</f>
        <v>4343764931</v>
      </c>
      <c r="H38" s="78"/>
      <c r="I38" s="87">
        <f>+I15+I23+I26+I27+I36</f>
        <v>4343765000</v>
      </c>
      <c r="J38" s="56"/>
      <c r="K38" s="57">
        <f>+K36+1</f>
        <v>58</v>
      </c>
      <c r="L38" s="2"/>
    </row>
    <row r="39" spans="1:12" ht="12.75" customHeight="1" x14ac:dyDescent="0.2">
      <c r="A39" s="58"/>
      <c r="B39" s="96"/>
      <c r="C39" s="78"/>
      <c r="D39" s="78"/>
      <c r="E39" s="78"/>
      <c r="F39" s="78"/>
      <c r="G39" s="78"/>
      <c r="H39" s="78"/>
      <c r="I39" s="96"/>
      <c r="J39" s="56"/>
      <c r="K39" s="57"/>
    </row>
    <row r="40" spans="1:12" ht="12.75" customHeight="1" x14ac:dyDescent="0.2">
      <c r="A40" s="56" t="s">
        <v>188</v>
      </c>
      <c r="B40" s="78">
        <f>B11*2.5%</f>
        <v>57425000</v>
      </c>
      <c r="C40" s="78"/>
      <c r="D40" s="78"/>
      <c r="E40" s="78"/>
      <c r="F40" s="78"/>
      <c r="G40" s="79">
        <f>+B40+E40-D40</f>
        <v>57425000</v>
      </c>
      <c r="H40" s="78"/>
      <c r="I40" s="78">
        <f>ROUND(G40,-3)</f>
        <v>57425000</v>
      </c>
      <c r="J40" s="56"/>
      <c r="K40" s="57">
        <f>+K38+1</f>
        <v>59</v>
      </c>
    </row>
    <row r="41" spans="1:12" ht="12.75" customHeight="1" x14ac:dyDescent="0.2">
      <c r="A41" s="58"/>
      <c r="B41" s="96"/>
      <c r="C41" s="78"/>
      <c r="D41" s="78"/>
      <c r="E41" s="78"/>
      <c r="F41" s="78"/>
      <c r="G41" s="78"/>
      <c r="H41" s="78"/>
      <c r="I41" s="96"/>
      <c r="J41" s="56"/>
      <c r="K41" s="57"/>
    </row>
    <row r="42" spans="1:12" ht="12.75" customHeight="1" x14ac:dyDescent="0.2">
      <c r="A42" s="108" t="s">
        <v>280</v>
      </c>
      <c r="B42" s="96"/>
      <c r="C42" s="78"/>
      <c r="D42" s="78"/>
      <c r="E42" s="78"/>
      <c r="F42" s="78"/>
      <c r="G42" s="78"/>
      <c r="H42" s="78"/>
      <c r="I42" s="96"/>
      <c r="J42" s="56"/>
      <c r="K42" s="57"/>
    </row>
    <row r="43" spans="1:12" ht="12.75" customHeight="1" x14ac:dyDescent="0.2">
      <c r="A43" s="56" t="s">
        <v>23</v>
      </c>
      <c r="B43" s="96"/>
      <c r="C43" s="78"/>
      <c r="D43" s="79">
        <f>'10. INGRESOS'!G19</f>
        <v>87175000</v>
      </c>
      <c r="E43" s="79"/>
      <c r="F43" s="79"/>
      <c r="G43" s="79">
        <f>+B43+E43-D43</f>
        <v>-87175000</v>
      </c>
      <c r="H43" s="78"/>
      <c r="I43" s="96"/>
      <c r="J43" s="56"/>
      <c r="K43" s="57"/>
    </row>
    <row r="44" spans="1:12" ht="12.75" customHeight="1" x14ac:dyDescent="0.2">
      <c r="A44" s="56" t="s">
        <v>143</v>
      </c>
      <c r="B44" s="96"/>
      <c r="C44" s="78"/>
      <c r="D44" s="79">
        <f>+'6. INVERSIONES'!L43</f>
        <v>28500000</v>
      </c>
      <c r="E44" s="79"/>
      <c r="F44" s="79"/>
      <c r="G44" s="79">
        <f>+B44+E44-D44</f>
        <v>-28500000</v>
      </c>
      <c r="H44" s="78"/>
      <c r="I44" s="96"/>
      <c r="J44" s="56"/>
      <c r="K44" s="57"/>
    </row>
    <row r="45" spans="1:12" ht="12.75" customHeight="1" x14ac:dyDescent="0.2">
      <c r="A45" s="58" t="s">
        <v>413</v>
      </c>
      <c r="B45" s="96"/>
      <c r="C45" s="78"/>
      <c r="D45" s="83">
        <f>SUM(D43:D44)</f>
        <v>115675000</v>
      </c>
      <c r="E45" s="79"/>
      <c r="F45" s="79"/>
      <c r="G45" s="83">
        <f>SUM(G43:G44)</f>
        <v>-115675000</v>
      </c>
      <c r="H45" s="78"/>
      <c r="I45" s="87">
        <f>-ROUND(G45,-3)</f>
        <v>115675000</v>
      </c>
      <c r="J45" s="56"/>
      <c r="K45" s="57">
        <f>+K40+1</f>
        <v>60</v>
      </c>
    </row>
    <row r="46" spans="1:12" ht="12.75" customHeight="1" x14ac:dyDescent="0.2">
      <c r="A46" s="58"/>
      <c r="B46" s="96"/>
      <c r="C46" s="78"/>
      <c r="D46" s="78"/>
      <c r="E46" s="78"/>
      <c r="F46" s="78"/>
      <c r="G46" s="78"/>
      <c r="H46" s="78"/>
      <c r="I46" s="96"/>
      <c r="J46" s="56"/>
      <c r="K46" s="57"/>
    </row>
    <row r="47" spans="1:12" ht="12.75" customHeight="1" thickBot="1" x14ac:dyDescent="0.25">
      <c r="A47" s="58" t="s">
        <v>144</v>
      </c>
      <c r="B47" s="86">
        <f>+B38-B40-B45</f>
        <v>4500948750</v>
      </c>
      <c r="C47" s="78"/>
      <c r="D47" s="78"/>
      <c r="E47" s="78"/>
      <c r="F47" s="78"/>
      <c r="G47" s="78"/>
      <c r="H47" s="78"/>
      <c r="I47" s="86">
        <f>+I38-I40-I45</f>
        <v>4170665000</v>
      </c>
      <c r="J47" s="56"/>
      <c r="K47" s="57">
        <f>+K45+1</f>
        <v>61</v>
      </c>
    </row>
    <row r="48" spans="1:12" ht="12.75" customHeight="1" thickTop="1" x14ac:dyDescent="0.2">
      <c r="A48" s="112"/>
      <c r="B48" s="82"/>
      <c r="C48" s="78"/>
      <c r="D48" s="78"/>
      <c r="E48" s="78"/>
      <c r="F48" s="78"/>
      <c r="G48" s="78"/>
      <c r="H48" s="78"/>
      <c r="I48" s="78"/>
      <c r="J48" s="56"/>
      <c r="K48" s="57"/>
    </row>
    <row r="49" spans="1:15" ht="12.75" customHeight="1" x14ac:dyDescent="0.2">
      <c r="A49" s="108" t="s">
        <v>25</v>
      </c>
      <c r="B49" s="78"/>
      <c r="C49" s="78"/>
      <c r="D49" s="78"/>
      <c r="E49" s="78"/>
      <c r="F49" s="78"/>
      <c r="G49" s="78"/>
      <c r="H49" s="78"/>
      <c r="I49" s="78"/>
      <c r="J49" s="56"/>
      <c r="K49" s="57"/>
      <c r="O49" s="3"/>
    </row>
    <row r="50" spans="1:15" ht="12.75" customHeight="1" x14ac:dyDescent="0.2">
      <c r="A50" s="56" t="s">
        <v>24</v>
      </c>
      <c r="B50" s="79">
        <f>+(B12+B11)*36.5%</f>
        <v>1396738200</v>
      </c>
      <c r="C50" s="78"/>
      <c r="D50" s="78"/>
      <c r="E50" s="78"/>
      <c r="F50" s="78"/>
      <c r="G50" s="79">
        <f>+B50+D50-E50</f>
        <v>1396738200</v>
      </c>
      <c r="H50" s="78"/>
      <c r="I50" s="78"/>
      <c r="J50" s="56"/>
      <c r="K50" s="57"/>
      <c r="O50" s="3"/>
    </row>
    <row r="51" spans="1:15" ht="12.75" customHeight="1" x14ac:dyDescent="0.2">
      <c r="A51" s="56" t="s">
        <v>351</v>
      </c>
      <c r="B51" s="79"/>
      <c r="C51" s="78"/>
      <c r="D51" s="78"/>
      <c r="E51" s="78">
        <v>39290000</v>
      </c>
      <c r="F51" s="78"/>
      <c r="G51" s="79">
        <f>+B51+D51-E51</f>
        <v>-39290000</v>
      </c>
      <c r="H51" s="78"/>
      <c r="I51" s="78"/>
      <c r="J51" s="56"/>
      <c r="K51" s="57"/>
      <c r="O51" s="3"/>
    </row>
    <row r="52" spans="1:15" ht="12.75" customHeight="1" x14ac:dyDescent="0.2">
      <c r="A52" s="56" t="s">
        <v>350</v>
      </c>
      <c r="B52" s="79"/>
      <c r="C52" s="78"/>
      <c r="D52" s="78"/>
      <c r="E52" s="78">
        <v>21138000</v>
      </c>
      <c r="F52" s="78"/>
      <c r="G52" s="79">
        <f>+B52+D52-E52</f>
        <v>-21138000</v>
      </c>
      <c r="H52" s="78"/>
      <c r="I52" s="78"/>
      <c r="J52" s="56"/>
      <c r="K52" s="57"/>
    </row>
    <row r="53" spans="1:15" ht="12.75" customHeight="1" x14ac:dyDescent="0.2">
      <c r="A53" s="56" t="s">
        <v>428</v>
      </c>
      <c r="B53" s="79"/>
      <c r="C53" s="78"/>
      <c r="D53" s="78"/>
      <c r="E53" s="79">
        <f>+'15. EFECTIVO - EXT'!F9</f>
        <v>30960000</v>
      </c>
      <c r="F53" s="78"/>
      <c r="G53" s="79">
        <f>+B53+D53-E53</f>
        <v>-30960000</v>
      </c>
      <c r="H53" s="78"/>
      <c r="I53" s="78"/>
      <c r="J53" s="56"/>
      <c r="K53" s="57"/>
      <c r="O53" s="3"/>
    </row>
    <row r="54" spans="1:15" ht="12.75" customHeight="1" x14ac:dyDescent="0.2">
      <c r="A54" s="56" t="s">
        <v>615</v>
      </c>
      <c r="B54" s="79"/>
      <c r="C54" s="78"/>
      <c r="D54" s="79">
        <f>-'6. INVERSIONES'!L41</f>
        <v>75000000</v>
      </c>
      <c r="E54" s="79"/>
      <c r="F54" s="78"/>
      <c r="G54" s="79">
        <f>+B54+D54-E54</f>
        <v>75000000</v>
      </c>
      <c r="H54" s="78"/>
      <c r="I54" s="78"/>
      <c r="J54" s="56"/>
      <c r="K54" s="57"/>
      <c r="O54" s="3"/>
    </row>
    <row r="55" spans="1:15" ht="12.75" customHeight="1" x14ac:dyDescent="0.2">
      <c r="A55" s="56"/>
      <c r="B55" s="79"/>
      <c r="C55" s="79"/>
      <c r="D55" s="78"/>
      <c r="E55" s="79"/>
      <c r="F55" s="79"/>
      <c r="G55" s="79"/>
      <c r="H55" s="78"/>
      <c r="I55" s="78"/>
      <c r="J55" s="56"/>
      <c r="K55" s="57"/>
      <c r="O55" s="3"/>
    </row>
    <row r="56" spans="1:15" ht="12.75" customHeight="1" x14ac:dyDescent="0.2">
      <c r="A56" s="58" t="s">
        <v>296</v>
      </c>
      <c r="B56" s="113">
        <f>SUM(B50:B55)</f>
        <v>1396738200</v>
      </c>
      <c r="C56" s="114"/>
      <c r="D56" s="78"/>
      <c r="E56" s="115">
        <f>SUM(E50:E55)</f>
        <v>91388000</v>
      </c>
      <c r="F56" s="114"/>
      <c r="G56" s="113">
        <f>SUM(G50:G55)</f>
        <v>1380350200</v>
      </c>
      <c r="H56" s="96"/>
      <c r="I56" s="87">
        <f>ROUND(G56,-3)</f>
        <v>1380350000</v>
      </c>
      <c r="J56" s="56"/>
      <c r="K56" s="57"/>
      <c r="O56" s="3"/>
    </row>
    <row r="57" spans="1:15" ht="12.75" customHeight="1" x14ac:dyDescent="0.2">
      <c r="A57" s="56"/>
      <c r="B57" s="79"/>
      <c r="C57" s="79"/>
      <c r="D57" s="79"/>
      <c r="E57" s="79"/>
      <c r="F57" s="79"/>
      <c r="G57" s="79"/>
      <c r="H57" s="78"/>
      <c r="I57" s="78"/>
      <c r="J57" s="56"/>
      <c r="K57" s="57"/>
    </row>
    <row r="58" spans="1:15" ht="12.75" hidden="1" customHeight="1" x14ac:dyDescent="0.2">
      <c r="A58" s="56" t="s">
        <v>26</v>
      </c>
      <c r="B58" s="79"/>
      <c r="C58" s="79"/>
      <c r="D58" s="79">
        <v>0</v>
      </c>
      <c r="E58" s="79"/>
      <c r="F58" s="79"/>
      <c r="G58" s="79">
        <f>+B58+D58-E58</f>
        <v>0</v>
      </c>
      <c r="H58" s="78"/>
      <c r="I58" s="78"/>
      <c r="J58" s="56"/>
      <c r="K58" s="57"/>
    </row>
    <row r="59" spans="1:15" ht="12.75" hidden="1" customHeight="1" x14ac:dyDescent="0.2">
      <c r="A59" s="56" t="s">
        <v>27</v>
      </c>
      <c r="B59" s="77"/>
      <c r="C59" s="79"/>
      <c r="D59" s="77">
        <v>0</v>
      </c>
      <c r="E59" s="79"/>
      <c r="F59" s="79"/>
      <c r="G59" s="79">
        <f>+B59+D59-E59</f>
        <v>0</v>
      </c>
      <c r="H59" s="78"/>
      <c r="I59" s="78"/>
      <c r="J59" s="56"/>
      <c r="K59" s="57"/>
    </row>
    <row r="60" spans="1:15" ht="12.75" hidden="1" customHeight="1" x14ac:dyDescent="0.2">
      <c r="A60" s="56"/>
      <c r="B60" s="79"/>
      <c r="C60" s="79"/>
      <c r="D60" s="83">
        <f>SUM(D58:D59)</f>
        <v>0</v>
      </c>
      <c r="E60" s="79"/>
      <c r="F60" s="79"/>
      <c r="G60" s="83">
        <f>SUM(G58:G59)</f>
        <v>0</v>
      </c>
      <c r="H60" s="78"/>
      <c r="I60" s="87">
        <f>ROUND(G60,-3)</f>
        <v>0</v>
      </c>
      <c r="J60" s="56"/>
      <c r="K60" s="57"/>
      <c r="L60" s="3"/>
    </row>
    <row r="61" spans="1:15" ht="12.75" hidden="1" customHeight="1" x14ac:dyDescent="0.2">
      <c r="A61" s="56"/>
      <c r="B61" s="78"/>
      <c r="C61" s="78"/>
      <c r="D61" s="78"/>
      <c r="E61" s="78"/>
      <c r="F61" s="78"/>
      <c r="G61" s="78"/>
      <c r="H61" s="78"/>
      <c r="I61" s="78"/>
      <c r="J61" s="56"/>
      <c r="K61" s="57"/>
    </row>
    <row r="62" spans="1:15" ht="12.75" customHeight="1" thickBot="1" x14ac:dyDescent="0.25">
      <c r="A62" s="58" t="s">
        <v>162</v>
      </c>
      <c r="B62" s="86">
        <f>SUM(B56:B56)</f>
        <v>1396738200</v>
      </c>
      <c r="C62" s="78"/>
      <c r="D62" s="96"/>
      <c r="E62" s="78"/>
      <c r="F62" s="78"/>
      <c r="G62" s="86">
        <f>SUM(G56:G61)</f>
        <v>1380350200</v>
      </c>
      <c r="H62" s="78"/>
      <c r="I62" s="86">
        <f>SUM(I56:I61)</f>
        <v>1380350000</v>
      </c>
      <c r="J62" s="56"/>
      <c r="K62" s="57">
        <f>+K47+1</f>
        <v>62</v>
      </c>
    </row>
    <row r="63" spans="1:15" ht="12.75" customHeight="1" thickTop="1" x14ac:dyDescent="0.2">
      <c r="A63" s="58"/>
      <c r="B63" s="78"/>
      <c r="C63" s="78"/>
      <c r="D63" s="78"/>
      <c r="E63" s="78"/>
      <c r="F63" s="78"/>
      <c r="G63" s="78"/>
      <c r="H63" s="78"/>
      <c r="I63" s="78"/>
      <c r="J63" s="56"/>
      <c r="K63" s="57"/>
    </row>
    <row r="64" spans="1:15" ht="12.75" customHeight="1" x14ac:dyDescent="0.2">
      <c r="A64" s="108" t="s">
        <v>335</v>
      </c>
      <c r="B64" s="78"/>
      <c r="C64" s="78"/>
      <c r="D64" s="78"/>
      <c r="E64" s="78"/>
      <c r="F64" s="78"/>
      <c r="G64" s="78"/>
      <c r="H64" s="78"/>
      <c r="I64" s="78"/>
      <c r="J64" s="56"/>
      <c r="K64" s="57"/>
    </row>
    <row r="65" spans="1:12" ht="12.75" customHeight="1" x14ac:dyDescent="0.2">
      <c r="A65" s="111" t="s">
        <v>28</v>
      </c>
      <c r="B65" s="79">
        <f>+'13. LABORALES - INTS'!E9</f>
        <v>973510000</v>
      </c>
      <c r="C65" s="79"/>
      <c r="D65" s="79">
        <f>+'13. LABORALES - INTS'!E23</f>
        <v>37020000</v>
      </c>
      <c r="E65" s="79">
        <f>-'13. LABORALES - INTS'!E16</f>
        <v>64193000</v>
      </c>
      <c r="F65" s="78"/>
      <c r="G65" s="79">
        <f t="shared" ref="G65:G82" si="3">+B65+D65-E65</f>
        <v>946337000</v>
      </c>
      <c r="H65" s="78"/>
      <c r="I65" s="78"/>
      <c r="J65" s="56"/>
      <c r="K65" s="57"/>
    </row>
    <row r="66" spans="1:12" ht="12.75" customHeight="1" x14ac:dyDescent="0.2">
      <c r="A66" s="76" t="s">
        <v>207</v>
      </c>
      <c r="B66" s="79">
        <f>+'13. LABORALES - INTS'!G9</f>
        <v>103712000</v>
      </c>
      <c r="C66" s="79"/>
      <c r="D66" s="79">
        <f>+'13. LABORALES - INTS'!G23</f>
        <v>0</v>
      </c>
      <c r="E66" s="79">
        <f>+'13. LABORALES - INTS'!G16</f>
        <v>0</v>
      </c>
      <c r="F66" s="78"/>
      <c r="G66" s="79">
        <f t="shared" si="3"/>
        <v>103712000</v>
      </c>
      <c r="H66" s="78"/>
      <c r="I66" s="78"/>
      <c r="J66" s="56"/>
      <c r="K66" s="57"/>
    </row>
    <row r="67" spans="1:12" ht="12.75" customHeight="1" x14ac:dyDescent="0.2">
      <c r="A67" s="56" t="s">
        <v>29</v>
      </c>
      <c r="B67" s="79">
        <v>72581000</v>
      </c>
      <c r="C67" s="79"/>
      <c r="D67" s="79"/>
      <c r="E67" s="79">
        <f>+'15. EFECTIVO - EXT'!F10</f>
        <v>5120000</v>
      </c>
      <c r="F67" s="78"/>
      <c r="G67" s="79">
        <f t="shared" si="3"/>
        <v>67461000</v>
      </c>
      <c r="H67" s="78"/>
      <c r="I67" s="96"/>
      <c r="J67" s="56"/>
      <c r="K67" s="57"/>
    </row>
    <row r="68" spans="1:12" ht="12.75" customHeight="1" x14ac:dyDescent="0.2">
      <c r="A68" s="56" t="s">
        <v>36</v>
      </c>
      <c r="B68" s="79">
        <v>45397000</v>
      </c>
      <c r="C68" s="79"/>
      <c r="D68" s="79"/>
      <c r="E68" s="79">
        <v>9000000</v>
      </c>
      <c r="F68" s="78"/>
      <c r="G68" s="79">
        <f t="shared" si="3"/>
        <v>36397000</v>
      </c>
      <c r="H68" s="78"/>
      <c r="I68" s="96"/>
      <c r="J68" s="56"/>
      <c r="K68" s="57"/>
    </row>
    <row r="69" spans="1:12" ht="12.75" customHeight="1" x14ac:dyDescent="0.2">
      <c r="A69" s="56" t="s">
        <v>204</v>
      </c>
      <c r="B69" s="78">
        <f>21107000+16348000</f>
        <v>37455000</v>
      </c>
      <c r="C69" s="79"/>
      <c r="D69" s="79"/>
      <c r="E69" s="79"/>
      <c r="F69" s="78"/>
      <c r="G69" s="79">
        <f t="shared" si="3"/>
        <v>37455000</v>
      </c>
      <c r="H69" s="78"/>
      <c r="I69" s="78"/>
      <c r="J69" s="56"/>
      <c r="K69" s="57"/>
      <c r="L69" s="3"/>
    </row>
    <row r="70" spans="1:12" ht="12.75" customHeight="1" x14ac:dyDescent="0.2">
      <c r="A70" s="56" t="s">
        <v>209</v>
      </c>
      <c r="B70" s="79">
        <f>ROUND(+(B38-B32-B33-B34)*0.4%+4000000,-3)</f>
        <v>21913000</v>
      </c>
      <c r="C70" s="79"/>
      <c r="D70" s="79"/>
      <c r="E70" s="79">
        <f>B70*50%</f>
        <v>10956500</v>
      </c>
      <c r="F70" s="78"/>
      <c r="G70" s="79">
        <f t="shared" si="3"/>
        <v>10956500</v>
      </c>
      <c r="H70" s="78"/>
      <c r="I70" s="78"/>
      <c r="J70" s="56"/>
      <c r="K70" s="57"/>
    </row>
    <row r="71" spans="1:12" ht="12.75" customHeight="1" x14ac:dyDescent="0.2">
      <c r="A71" s="56" t="s">
        <v>510</v>
      </c>
      <c r="B71" s="79">
        <v>8360000</v>
      </c>
      <c r="C71" s="79"/>
      <c r="D71" s="79"/>
      <c r="E71" s="79"/>
      <c r="F71" s="78"/>
      <c r="G71" s="79">
        <f>+B71+D71-E71</f>
        <v>8360000</v>
      </c>
      <c r="H71" s="78"/>
      <c r="I71" s="78"/>
      <c r="J71" s="56"/>
      <c r="K71" s="57"/>
    </row>
    <row r="72" spans="1:12" ht="12.75" customHeight="1" x14ac:dyDescent="0.2">
      <c r="A72" s="56" t="s">
        <v>477</v>
      </c>
      <c r="B72" s="78">
        <f>7119000+1005000</f>
        <v>8124000</v>
      </c>
      <c r="C72" s="79"/>
      <c r="D72" s="79"/>
      <c r="E72" s="79">
        <v>1005000</v>
      </c>
      <c r="F72" s="78"/>
      <c r="G72" s="79">
        <f t="shared" si="3"/>
        <v>7119000</v>
      </c>
      <c r="H72" s="78"/>
      <c r="I72" s="78"/>
      <c r="J72" s="56"/>
      <c r="K72" s="57"/>
      <c r="L72" s="3"/>
    </row>
    <row r="73" spans="1:12" ht="12.75" customHeight="1" x14ac:dyDescent="0.2">
      <c r="A73" s="56" t="s">
        <v>30</v>
      </c>
      <c r="B73" s="79">
        <f>4700000*12</f>
        <v>56400000</v>
      </c>
      <c r="C73" s="79"/>
      <c r="D73" s="79"/>
      <c r="E73" s="79"/>
      <c r="F73" s="78"/>
      <c r="G73" s="79">
        <f t="shared" si="3"/>
        <v>56400000</v>
      </c>
      <c r="H73" s="78"/>
      <c r="I73" s="78"/>
      <c r="J73" s="56"/>
      <c r="K73" s="57"/>
    </row>
    <row r="74" spans="1:12" ht="12.75" customHeight="1" x14ac:dyDescent="0.2">
      <c r="A74" s="56" t="s">
        <v>446</v>
      </c>
      <c r="B74" s="79">
        <v>78240000</v>
      </c>
      <c r="C74" s="79"/>
      <c r="D74" s="79"/>
      <c r="E74" s="79"/>
      <c r="F74" s="78"/>
      <c r="G74" s="79">
        <f t="shared" si="3"/>
        <v>78240000</v>
      </c>
      <c r="H74" s="78"/>
      <c r="I74" s="96"/>
      <c r="J74" s="56"/>
      <c r="K74" s="57"/>
    </row>
    <row r="75" spans="1:12" ht="12.75" customHeight="1" x14ac:dyDescent="0.2">
      <c r="A75" s="56" t="s">
        <v>31</v>
      </c>
      <c r="B75" s="79">
        <v>31439000</v>
      </c>
      <c r="C75" s="79"/>
      <c r="D75" s="79"/>
      <c r="E75" s="79"/>
      <c r="F75" s="78"/>
      <c r="G75" s="79">
        <f t="shared" si="3"/>
        <v>31439000</v>
      </c>
      <c r="H75" s="78"/>
      <c r="I75" s="78"/>
      <c r="J75" s="56"/>
      <c r="K75" s="57"/>
    </row>
    <row r="76" spans="1:12" ht="12.75" customHeight="1" x14ac:dyDescent="0.2">
      <c r="A76" s="56" t="s">
        <v>33</v>
      </c>
      <c r="B76" s="79">
        <v>82798326</v>
      </c>
      <c r="C76" s="79"/>
      <c r="D76" s="79"/>
      <c r="E76" s="79">
        <v>25091000</v>
      </c>
      <c r="F76" s="78"/>
      <c r="G76" s="79">
        <f t="shared" si="3"/>
        <v>57707326</v>
      </c>
      <c r="H76" s="78"/>
      <c r="I76" s="78"/>
      <c r="J76" s="56"/>
      <c r="K76" s="57"/>
    </row>
    <row r="77" spans="1:12" ht="12.75" customHeight="1" x14ac:dyDescent="0.2">
      <c r="A77" s="56" t="s">
        <v>35</v>
      </c>
      <c r="B77" s="79">
        <f>'8. DEPRECIACIÓN'!E33</f>
        <v>79444217</v>
      </c>
      <c r="C77" s="79"/>
      <c r="D77" s="79">
        <f>+'8. DEPRECIACIÓN'!K33-'8. DEPRECIACIÓN'!E33</f>
        <v>9402595</v>
      </c>
      <c r="E77" s="79"/>
      <c r="F77" s="78"/>
      <c r="G77" s="79">
        <f t="shared" si="3"/>
        <v>88846812</v>
      </c>
      <c r="H77" s="78"/>
      <c r="I77" s="78"/>
      <c r="J77" s="56"/>
      <c r="K77" s="57"/>
    </row>
    <row r="78" spans="1:12" ht="12.75" customHeight="1" x14ac:dyDescent="0.2">
      <c r="A78" s="56" t="s">
        <v>531</v>
      </c>
      <c r="B78" s="79">
        <f>IF('7. PPyE'!F17&lt;0,'7. PPyE'!F17,0)</f>
        <v>0</v>
      </c>
      <c r="C78" s="79"/>
      <c r="D78" s="79"/>
      <c r="E78" s="79">
        <f>+B78</f>
        <v>0</v>
      </c>
      <c r="F78" s="78"/>
      <c r="G78" s="79">
        <f t="shared" si="3"/>
        <v>0</v>
      </c>
      <c r="H78" s="78"/>
      <c r="I78" s="78"/>
      <c r="J78" s="56"/>
      <c r="K78" s="57"/>
    </row>
    <row r="79" spans="1:12" ht="12.75" customHeight="1" x14ac:dyDescent="0.2">
      <c r="A79" s="56" t="s">
        <v>34</v>
      </c>
      <c r="B79" s="79">
        <v>50218000</v>
      </c>
      <c r="C79" s="79"/>
      <c r="D79" s="79"/>
      <c r="E79" s="79">
        <f>+'15. EFECTIVO - EXT'!F12</f>
        <v>17029000</v>
      </c>
      <c r="F79" s="78"/>
      <c r="G79" s="79">
        <f t="shared" si="3"/>
        <v>33189000</v>
      </c>
      <c r="H79" s="78"/>
      <c r="I79" s="78"/>
      <c r="J79" s="56"/>
      <c r="K79" s="57"/>
    </row>
    <row r="80" spans="1:12" ht="12.75" customHeight="1" x14ac:dyDescent="0.2">
      <c r="A80" s="56" t="s">
        <v>32</v>
      </c>
      <c r="B80" s="79">
        <f>+'15. EFECTIVO - EXT'!C48</f>
        <v>37950000</v>
      </c>
      <c r="C80" s="79"/>
      <c r="D80" s="79"/>
      <c r="E80" s="79">
        <f>+'15. EFECTIVO - EXT'!E46</f>
        <v>14780000</v>
      </c>
      <c r="F80" s="78"/>
      <c r="G80" s="79">
        <f t="shared" si="3"/>
        <v>23170000</v>
      </c>
      <c r="H80" s="78"/>
      <c r="I80" s="78"/>
      <c r="J80" s="56"/>
      <c r="K80" s="57"/>
    </row>
    <row r="81" spans="1:14" ht="12.75" customHeight="1" x14ac:dyDescent="0.2">
      <c r="A81" s="56" t="s">
        <v>147</v>
      </c>
      <c r="B81" s="79">
        <f>+'15. EFECTIVO - EXT'!C57</f>
        <v>66218000</v>
      </c>
      <c r="C81" s="79"/>
      <c r="D81" s="79"/>
      <c r="E81" s="79">
        <f>+'15. EFECTIVO - EXT'!E57</f>
        <v>35760000</v>
      </c>
      <c r="F81" s="78"/>
      <c r="G81" s="79">
        <f t="shared" si="3"/>
        <v>30458000</v>
      </c>
      <c r="H81" s="78"/>
      <c r="I81" s="78"/>
      <c r="J81" s="56"/>
      <c r="K81" s="57"/>
    </row>
    <row r="82" spans="1:14" ht="12.75" customHeight="1" x14ac:dyDescent="0.2">
      <c r="A82" s="56" t="s">
        <v>37</v>
      </c>
      <c r="B82" s="77">
        <v>38233000</v>
      </c>
      <c r="C82" s="79"/>
      <c r="D82" s="77"/>
      <c r="E82" s="77"/>
      <c r="F82" s="78"/>
      <c r="G82" s="77">
        <f t="shared" si="3"/>
        <v>38233000</v>
      </c>
      <c r="H82" s="78"/>
      <c r="I82" s="116"/>
      <c r="J82" s="56"/>
      <c r="K82" s="57"/>
    </row>
    <row r="83" spans="1:14" ht="12.75" customHeight="1" x14ac:dyDescent="0.2">
      <c r="A83" s="56"/>
      <c r="B83" s="78"/>
      <c r="C83" s="78"/>
      <c r="D83" s="78"/>
      <c r="E83" s="78"/>
      <c r="F83" s="78"/>
      <c r="G83" s="78"/>
      <c r="H83" s="78"/>
      <c r="I83" s="78"/>
      <c r="J83" s="56"/>
      <c r="K83" s="57"/>
    </row>
    <row r="84" spans="1:14" ht="12.75" customHeight="1" x14ac:dyDescent="0.2">
      <c r="A84" s="58" t="s">
        <v>336</v>
      </c>
      <c r="B84" s="96">
        <f>SUM(B64:B82)</f>
        <v>1791992543</v>
      </c>
      <c r="C84" s="78"/>
      <c r="D84" s="96">
        <f>SUM(D64:D82)</f>
        <v>46422595</v>
      </c>
      <c r="E84" s="96">
        <f>SUM(E64:E82)</f>
        <v>182934500</v>
      </c>
      <c r="F84" s="78"/>
      <c r="G84" s="96">
        <f>SUM(G64:G82)</f>
        <v>1655480638</v>
      </c>
      <c r="H84" s="78"/>
      <c r="I84" s="96">
        <f>ROUND(G84,-3)</f>
        <v>1655481000</v>
      </c>
      <c r="J84" s="56"/>
      <c r="K84" s="57">
        <f>+K62+1</f>
        <v>63</v>
      </c>
    </row>
    <row r="85" spans="1:14" ht="12.75" customHeight="1" x14ac:dyDescent="0.2">
      <c r="A85" s="58"/>
      <c r="B85" s="96"/>
      <c r="C85" s="78"/>
      <c r="D85" s="96"/>
      <c r="E85" s="96"/>
      <c r="F85" s="78"/>
      <c r="G85" s="96"/>
      <c r="H85" s="78"/>
      <c r="I85" s="96"/>
      <c r="J85" s="56"/>
      <c r="K85" s="57"/>
    </row>
    <row r="86" spans="1:14" ht="12.75" customHeight="1" x14ac:dyDescent="0.2">
      <c r="A86" s="108" t="s">
        <v>337</v>
      </c>
      <c r="B86" s="78"/>
      <c r="C86" s="78"/>
      <c r="D86" s="78"/>
      <c r="E86" s="78" t="s">
        <v>12</v>
      </c>
      <c r="F86" s="78"/>
      <c r="G86" s="78"/>
      <c r="H86" s="78"/>
      <c r="I86" s="78"/>
      <c r="J86" s="56"/>
      <c r="K86" s="57"/>
    </row>
    <row r="87" spans="1:14" ht="12.75" customHeight="1" x14ac:dyDescent="0.2">
      <c r="A87" s="56" t="s">
        <v>145</v>
      </c>
      <c r="B87" s="79">
        <f>+'13. LABORALES - INTS'!G56</f>
        <v>332920164.38356167</v>
      </c>
      <c r="C87" s="79"/>
      <c r="D87" s="79"/>
      <c r="E87" s="79">
        <f>+'13. LABORALES - INTS'!E77</f>
        <v>15942150.098096637</v>
      </c>
      <c r="F87" s="78"/>
      <c r="G87" s="79">
        <f t="shared" ref="G87:G89" si="4">+B87+D87-E87</f>
        <v>316978014.28546506</v>
      </c>
      <c r="H87" s="78"/>
      <c r="I87" s="78"/>
      <c r="J87" s="56"/>
      <c r="K87" s="57"/>
    </row>
    <row r="88" spans="1:14" ht="12.75" customHeight="1" x14ac:dyDescent="0.2">
      <c r="A88" s="111" t="s">
        <v>386</v>
      </c>
      <c r="B88" s="79">
        <v>41800000</v>
      </c>
      <c r="C88" s="79"/>
      <c r="D88" s="79">
        <v>11840000</v>
      </c>
      <c r="E88" s="79">
        <f>IF('4. CDT - CxC'!G41&lt;0,-'4. CDT - CxC'!G41,0)</f>
        <v>0</v>
      </c>
      <c r="F88" s="79"/>
      <c r="G88" s="79">
        <f t="shared" si="4"/>
        <v>53640000</v>
      </c>
      <c r="H88" s="79"/>
      <c r="I88" s="79"/>
      <c r="J88" s="56"/>
      <c r="K88" s="57"/>
      <c r="N88" s="8"/>
    </row>
    <row r="89" spans="1:14" ht="12.75" customHeight="1" x14ac:dyDescent="0.2">
      <c r="A89" s="56" t="s">
        <v>286</v>
      </c>
      <c r="B89" s="77">
        <v>15713000</v>
      </c>
      <c r="C89" s="79"/>
      <c r="D89" s="77"/>
      <c r="E89" s="77">
        <f>'15. EFECTIVO - EXT'!H48+'15. EFECTIVO - EXT'!H57</f>
        <v>1173000</v>
      </c>
      <c r="F89" s="78"/>
      <c r="G89" s="77">
        <f t="shared" si="4"/>
        <v>14540000</v>
      </c>
      <c r="H89" s="78"/>
      <c r="I89" s="96"/>
      <c r="J89" s="56"/>
      <c r="K89" s="57"/>
    </row>
    <row r="90" spans="1:14" ht="12.75" customHeight="1" x14ac:dyDescent="0.2">
      <c r="A90" s="56"/>
      <c r="B90" s="79"/>
      <c r="C90" s="79"/>
      <c r="D90" s="79"/>
      <c r="E90" s="79"/>
      <c r="F90" s="78"/>
      <c r="G90" s="79"/>
      <c r="H90" s="78"/>
      <c r="I90" s="96"/>
      <c r="J90" s="56"/>
      <c r="K90" s="57"/>
    </row>
    <row r="91" spans="1:14" ht="12.75" customHeight="1" x14ac:dyDescent="0.2">
      <c r="A91" s="58" t="s">
        <v>385</v>
      </c>
      <c r="B91" s="87">
        <f>SUM(B87:B90)</f>
        <v>390433164.38356167</v>
      </c>
      <c r="C91" s="96"/>
      <c r="D91" s="87">
        <f>SUM(D87:D90)</f>
        <v>11840000</v>
      </c>
      <c r="E91" s="87">
        <f>SUM(E87:E90)</f>
        <v>17115150.098096639</v>
      </c>
      <c r="F91" s="96"/>
      <c r="G91" s="87">
        <f>SUM(G87:G90)</f>
        <v>385158014.28546506</v>
      </c>
      <c r="H91" s="78"/>
      <c r="I91" s="87">
        <f>ROUND(G91,-3)</f>
        <v>385158000</v>
      </c>
      <c r="J91" s="56"/>
      <c r="K91" s="57">
        <v>65</v>
      </c>
    </row>
    <row r="92" spans="1:14" ht="12.75" customHeight="1" x14ac:dyDescent="0.2">
      <c r="A92" s="56"/>
      <c r="B92" s="79"/>
      <c r="C92" s="79"/>
      <c r="D92" s="79"/>
      <c r="E92" s="79"/>
      <c r="F92" s="78"/>
      <c r="G92" s="79"/>
      <c r="H92" s="78"/>
      <c r="I92" s="96"/>
      <c r="J92" s="56"/>
      <c r="K92" s="57"/>
    </row>
    <row r="93" spans="1:14" ht="12.75" customHeight="1" x14ac:dyDescent="0.2">
      <c r="A93" s="108" t="s">
        <v>338</v>
      </c>
      <c r="B93" s="79"/>
      <c r="C93" s="79"/>
      <c r="D93" s="79"/>
      <c r="E93" s="79"/>
      <c r="F93" s="78"/>
      <c r="G93" s="79"/>
      <c r="H93" s="78"/>
      <c r="I93" s="96"/>
      <c r="J93" s="56"/>
      <c r="K93" s="57"/>
    </row>
    <row r="94" spans="1:14" ht="12.75" customHeight="1" x14ac:dyDescent="0.2">
      <c r="A94" s="56" t="s">
        <v>38</v>
      </c>
      <c r="B94" s="79">
        <v>12744000</v>
      </c>
      <c r="C94" s="79"/>
      <c r="D94" s="79"/>
      <c r="E94" s="79">
        <f>+B94</f>
        <v>12744000</v>
      </c>
      <c r="F94" s="78"/>
      <c r="G94" s="79">
        <f t="shared" ref="G94:G96" si="5">+B94+D94-E94</f>
        <v>0</v>
      </c>
      <c r="H94" s="78"/>
      <c r="I94" s="78"/>
      <c r="J94" s="56"/>
      <c r="K94" s="57"/>
    </row>
    <row r="95" spans="1:14" ht="12.75" customHeight="1" x14ac:dyDescent="0.2">
      <c r="A95" s="56" t="s">
        <v>39</v>
      </c>
      <c r="B95" s="79">
        <v>9012000</v>
      </c>
      <c r="C95" s="79"/>
      <c r="D95" s="79"/>
      <c r="E95" s="79">
        <f>+B95</f>
        <v>9012000</v>
      </c>
      <c r="F95" s="78"/>
      <c r="G95" s="79">
        <f t="shared" si="5"/>
        <v>0</v>
      </c>
      <c r="H95" s="78"/>
      <c r="I95" s="78"/>
      <c r="J95" s="56"/>
      <c r="K95" s="57"/>
    </row>
    <row r="96" spans="1:14" ht="12.75" customHeight="1" x14ac:dyDescent="0.2">
      <c r="A96" s="56" t="s">
        <v>40</v>
      </c>
      <c r="B96" s="77">
        <v>45200000</v>
      </c>
      <c r="C96" s="78"/>
      <c r="D96" s="77"/>
      <c r="E96" s="77">
        <f>+B96</f>
        <v>45200000</v>
      </c>
      <c r="F96" s="78"/>
      <c r="G96" s="77">
        <f t="shared" si="5"/>
        <v>0</v>
      </c>
      <c r="H96" s="78"/>
      <c r="I96" s="87"/>
      <c r="J96" s="56"/>
      <c r="K96" s="57"/>
    </row>
    <row r="97" spans="1:14" ht="12.75" customHeight="1" x14ac:dyDescent="0.2">
      <c r="A97" s="56"/>
      <c r="B97" s="78"/>
      <c r="C97" s="78"/>
      <c r="D97" s="78"/>
      <c r="E97" s="78"/>
      <c r="F97" s="78"/>
      <c r="G97" s="78"/>
      <c r="H97" s="78"/>
      <c r="I97" s="78"/>
      <c r="J97" s="56"/>
      <c r="K97" s="57"/>
    </row>
    <row r="98" spans="1:14" ht="12.75" customHeight="1" x14ac:dyDescent="0.2">
      <c r="A98" s="58" t="s">
        <v>379</v>
      </c>
      <c r="B98" s="87">
        <f>SUM(B94:B96)</f>
        <v>66956000</v>
      </c>
      <c r="C98" s="96"/>
      <c r="D98" s="87">
        <f>SUM(D94:D96)</f>
        <v>0</v>
      </c>
      <c r="E98" s="87">
        <f>SUM(E94:E96)</f>
        <v>66956000</v>
      </c>
      <c r="F98" s="96"/>
      <c r="G98" s="87">
        <f>SUM(G94:G96)</f>
        <v>0</v>
      </c>
      <c r="H98" s="78"/>
      <c r="I98" s="87">
        <f>ROUND(G98,-3)</f>
        <v>0</v>
      </c>
      <c r="J98" s="56"/>
      <c r="K98" s="57">
        <f>+K91+1</f>
        <v>66</v>
      </c>
    </row>
    <row r="99" spans="1:14" ht="12.75" customHeight="1" x14ac:dyDescent="0.2">
      <c r="A99" s="56"/>
      <c r="B99" s="78"/>
      <c r="C99" s="78"/>
      <c r="D99" s="78"/>
      <c r="E99" s="78"/>
      <c r="F99" s="78"/>
      <c r="G99" s="78"/>
      <c r="H99" s="78"/>
      <c r="I99" s="78"/>
      <c r="J99" s="56"/>
      <c r="K99" s="57"/>
    </row>
    <row r="100" spans="1:14" ht="12.75" customHeight="1" x14ac:dyDescent="0.2">
      <c r="A100" s="108" t="s">
        <v>42</v>
      </c>
      <c r="B100" s="78"/>
      <c r="C100" s="78"/>
      <c r="D100" s="78"/>
      <c r="E100" s="78"/>
      <c r="F100" s="78"/>
      <c r="G100" s="78"/>
      <c r="H100" s="78"/>
      <c r="I100" s="78"/>
      <c r="J100" s="56"/>
      <c r="K100" s="57"/>
    </row>
    <row r="101" spans="1:14" ht="12.75" customHeight="1" x14ac:dyDescent="0.2">
      <c r="A101" s="56" t="s">
        <v>245</v>
      </c>
      <c r="B101" s="79">
        <v>198500000</v>
      </c>
      <c r="C101" s="79"/>
      <c r="D101" s="79"/>
      <c r="E101" s="79">
        <f>+B101</f>
        <v>198500000</v>
      </c>
      <c r="F101" s="79"/>
      <c r="G101" s="79">
        <f>+B101+D101-E101</f>
        <v>0</v>
      </c>
      <c r="H101" s="79"/>
      <c r="I101" s="79"/>
      <c r="J101" s="56"/>
      <c r="K101" s="57"/>
    </row>
    <row r="102" spans="1:14" ht="12.75" customHeight="1" x14ac:dyDescent="0.2">
      <c r="A102" s="111" t="s">
        <v>410</v>
      </c>
      <c r="B102" s="79">
        <v>21589935.305499956</v>
      </c>
      <c r="C102" s="79"/>
      <c r="D102" s="79"/>
      <c r="E102" s="79">
        <f>+B102</f>
        <v>21589935.305499956</v>
      </c>
      <c r="F102" s="79"/>
      <c r="G102" s="79"/>
      <c r="H102" s="79"/>
      <c r="I102" s="79"/>
      <c r="J102" s="56"/>
      <c r="K102" s="57"/>
    </row>
    <row r="103" spans="1:14" ht="12.75" customHeight="1" x14ac:dyDescent="0.2">
      <c r="A103" s="111" t="s">
        <v>411</v>
      </c>
      <c r="B103" s="77">
        <v>26974211.53530632</v>
      </c>
      <c r="C103" s="78"/>
      <c r="D103" s="77"/>
      <c r="E103" s="77">
        <f>+B103</f>
        <v>26974211.53530632</v>
      </c>
      <c r="F103" s="78"/>
      <c r="G103" s="77">
        <f>+B103+D103-E103</f>
        <v>0</v>
      </c>
      <c r="H103" s="78"/>
      <c r="I103" s="116"/>
      <c r="J103" s="56"/>
      <c r="K103" s="57"/>
    </row>
    <row r="104" spans="1:14" ht="12.75" customHeight="1" x14ac:dyDescent="0.2">
      <c r="A104" s="111"/>
      <c r="B104" s="78"/>
      <c r="C104" s="78"/>
      <c r="D104" s="78"/>
      <c r="E104" s="78"/>
      <c r="F104" s="78"/>
      <c r="G104" s="78"/>
      <c r="H104" s="78"/>
      <c r="I104" s="78"/>
      <c r="J104" s="56"/>
      <c r="K104" s="57"/>
    </row>
    <row r="105" spans="1:14" ht="12.75" customHeight="1" x14ac:dyDescent="0.2">
      <c r="A105" s="56" t="s">
        <v>339</v>
      </c>
      <c r="B105" s="116">
        <f>SUM(B101:B103)</f>
        <v>247064146.84080631</v>
      </c>
      <c r="C105" s="78"/>
      <c r="D105" s="78">
        <f>SUM(D101:D103)</f>
        <v>0</v>
      </c>
      <c r="E105" s="78">
        <f>SUM(E101:E103)</f>
        <v>247064146.84080631</v>
      </c>
      <c r="F105" s="78"/>
      <c r="G105" s="78"/>
      <c r="H105" s="78"/>
      <c r="I105" s="116">
        <f>SUM(G101:G103)</f>
        <v>0</v>
      </c>
      <c r="J105" s="56"/>
      <c r="K105" s="57"/>
      <c r="L105" s="9"/>
      <c r="M105" s="9"/>
      <c r="N105" s="9"/>
    </row>
    <row r="106" spans="1:14" ht="12.75" customHeight="1" x14ac:dyDescent="0.2">
      <c r="A106" s="56"/>
      <c r="B106" s="78"/>
      <c r="C106" s="78"/>
      <c r="D106" s="78"/>
      <c r="E106" s="78"/>
      <c r="F106" s="78"/>
      <c r="G106" s="78"/>
      <c r="H106" s="78"/>
      <c r="I106" s="78"/>
      <c r="J106" s="56"/>
      <c r="K106" s="57"/>
    </row>
    <row r="107" spans="1:14" ht="12.75" customHeight="1" x14ac:dyDescent="0.2">
      <c r="A107" s="58" t="s">
        <v>519</v>
      </c>
      <c r="B107" s="78"/>
      <c r="C107" s="78"/>
      <c r="D107" s="78"/>
      <c r="E107" s="78"/>
      <c r="F107" s="78"/>
      <c r="G107" s="87">
        <f>G62+G84+G91+G98+G105</f>
        <v>3420988852.2854652</v>
      </c>
      <c r="H107" s="78"/>
      <c r="I107" s="87">
        <f>I62+I84+I91+I98+I105</f>
        <v>3420989000</v>
      </c>
      <c r="J107" s="56"/>
      <c r="K107" s="57">
        <f>+K98+1</f>
        <v>67</v>
      </c>
    </row>
    <row r="108" spans="1:14" ht="12.75" customHeight="1" x14ac:dyDescent="0.2">
      <c r="A108" s="56"/>
      <c r="B108" s="78"/>
      <c r="C108" s="78"/>
      <c r="D108" s="78"/>
      <c r="E108" s="78"/>
      <c r="F108" s="78"/>
      <c r="G108" s="78"/>
      <c r="H108" s="78"/>
      <c r="I108" s="78"/>
      <c r="J108" s="56"/>
      <c r="K108" s="57"/>
    </row>
    <row r="109" spans="1:14" ht="12.75" customHeight="1" x14ac:dyDescent="0.2">
      <c r="A109" s="56" t="s">
        <v>447</v>
      </c>
      <c r="B109" s="78"/>
      <c r="C109" s="78"/>
      <c r="D109" s="78"/>
      <c r="E109" s="78">
        <f>+'9. VTA ACT FIJOS'!I17</f>
        <v>20009525</v>
      </c>
      <c r="F109" s="78"/>
      <c r="G109" s="79">
        <f>+B109+E109-D109</f>
        <v>20009525</v>
      </c>
      <c r="H109" s="78"/>
      <c r="I109" s="78">
        <f>ROUND(G109,-3)</f>
        <v>20010000</v>
      </c>
      <c r="J109" s="56"/>
      <c r="K109" s="57">
        <v>70</v>
      </c>
    </row>
    <row r="110" spans="1:14" ht="12.75" customHeight="1" x14ac:dyDescent="0.2">
      <c r="A110" s="56" t="s">
        <v>412</v>
      </c>
      <c r="B110" s="78"/>
      <c r="C110" s="78"/>
      <c r="D110" s="78"/>
      <c r="E110" s="78"/>
      <c r="F110" s="78"/>
      <c r="G110" s="79">
        <f>+B110+E110-D110</f>
        <v>0</v>
      </c>
      <c r="H110" s="78"/>
      <c r="I110" s="116">
        <f>ROUND(G110,-3)</f>
        <v>0</v>
      </c>
      <c r="J110" s="56"/>
      <c r="K110" s="84">
        <f>+K109+1</f>
        <v>71</v>
      </c>
    </row>
    <row r="111" spans="1:14" ht="12.75" customHeight="1" x14ac:dyDescent="0.2">
      <c r="A111" s="56"/>
      <c r="B111" s="78"/>
      <c r="C111" s="78"/>
      <c r="D111" s="78"/>
      <c r="E111" s="78"/>
      <c r="F111" s="78"/>
      <c r="G111" s="78"/>
      <c r="H111" s="78"/>
      <c r="I111" s="78"/>
      <c r="J111" s="56"/>
      <c r="K111" s="84"/>
    </row>
    <row r="112" spans="1:14" ht="12.75" thickBot="1" x14ac:dyDescent="0.25">
      <c r="A112" s="117" t="s">
        <v>565</v>
      </c>
      <c r="B112" s="86">
        <f>+B47-B62-B84-B91-B98-B105</f>
        <v>607764695.77563214</v>
      </c>
      <c r="C112" s="78"/>
      <c r="D112" s="78"/>
      <c r="E112" s="78"/>
      <c r="F112" s="78"/>
      <c r="G112" s="78" t="s">
        <v>12</v>
      </c>
      <c r="H112" s="78"/>
      <c r="I112" s="86">
        <f>+I47-I107+I109+I110</f>
        <v>769686000</v>
      </c>
      <c r="J112" s="56"/>
      <c r="K112" s="84">
        <f>+K110+1</f>
        <v>72</v>
      </c>
      <c r="L112" s="2"/>
    </row>
    <row r="113" spans="1:14" ht="12.75" customHeight="1" thickTop="1" x14ac:dyDescent="0.2">
      <c r="A113" s="56"/>
      <c r="B113" s="96"/>
      <c r="C113" s="78"/>
      <c r="D113" s="78"/>
      <c r="E113" s="78"/>
      <c r="F113" s="78"/>
      <c r="G113" s="78"/>
      <c r="H113" s="78"/>
      <c r="I113" s="78"/>
      <c r="J113" s="56"/>
      <c r="K113" s="57"/>
    </row>
    <row r="114" spans="1:14" ht="12.75" customHeight="1" thickBot="1" x14ac:dyDescent="0.25">
      <c r="A114" s="58" t="s">
        <v>449</v>
      </c>
      <c r="B114" s="96"/>
      <c r="C114" s="96"/>
      <c r="D114" s="96"/>
      <c r="E114" s="96"/>
      <c r="F114" s="96"/>
      <c r="G114" s="96"/>
      <c r="H114" s="96"/>
      <c r="I114" s="86">
        <v>0</v>
      </c>
      <c r="J114" s="56"/>
      <c r="K114" s="57">
        <f>+K112+1</f>
        <v>73</v>
      </c>
    </row>
    <row r="115" spans="1:14" ht="12.75" customHeight="1" thickTop="1" x14ac:dyDescent="0.2">
      <c r="A115" s="56"/>
      <c r="B115" s="78"/>
      <c r="C115" s="78"/>
      <c r="D115" s="78"/>
      <c r="E115" s="78"/>
      <c r="F115" s="78"/>
      <c r="G115" s="78"/>
      <c r="H115" s="78"/>
      <c r="I115" s="78"/>
      <c r="J115" s="56"/>
      <c r="K115" s="57"/>
    </row>
    <row r="116" spans="1:14" ht="12.75" customHeight="1" x14ac:dyDescent="0.2">
      <c r="A116" s="108" t="s">
        <v>156</v>
      </c>
      <c r="B116" s="78"/>
      <c r="C116" s="78"/>
      <c r="D116" s="78"/>
      <c r="E116" s="78"/>
      <c r="F116" s="78"/>
      <c r="G116" s="78"/>
      <c r="H116" s="78"/>
      <c r="I116" s="78"/>
      <c r="J116" s="56"/>
      <c r="K116" s="57"/>
    </row>
    <row r="117" spans="1:14" ht="12.75" customHeight="1" x14ac:dyDescent="0.2">
      <c r="A117" s="56" t="s">
        <v>249</v>
      </c>
      <c r="B117" s="78"/>
      <c r="C117" s="78"/>
      <c r="D117" s="79">
        <v>128000000</v>
      </c>
      <c r="E117" s="79"/>
      <c r="F117" s="78"/>
      <c r="G117" s="79">
        <f>+B117+D117-E117</f>
        <v>128000000</v>
      </c>
      <c r="H117" s="78"/>
      <c r="I117" s="96"/>
      <c r="J117" s="56"/>
      <c r="K117" s="57"/>
    </row>
    <row r="118" spans="1:14" ht="12.75" customHeight="1" x14ac:dyDescent="0.2">
      <c r="A118" s="56" t="s">
        <v>41</v>
      </c>
      <c r="B118" s="78"/>
      <c r="C118" s="78"/>
      <c r="D118" s="79">
        <v>86330000</v>
      </c>
      <c r="E118" s="79"/>
      <c r="F118" s="78"/>
      <c r="G118" s="79">
        <f>+B118+D118-E118</f>
        <v>86330000</v>
      </c>
      <c r="H118" s="78"/>
      <c r="I118" s="96"/>
      <c r="J118" s="56"/>
      <c r="K118" s="57"/>
    </row>
    <row r="119" spans="1:14" ht="12.75" customHeight="1" x14ac:dyDescent="0.2">
      <c r="A119" s="56"/>
      <c r="B119" s="78"/>
      <c r="C119" s="78"/>
      <c r="D119" s="78"/>
      <c r="E119" s="78"/>
      <c r="F119" s="78"/>
      <c r="G119" s="118">
        <f>SUM(G117:G118)</f>
        <v>214330000</v>
      </c>
      <c r="H119" s="78"/>
      <c r="I119" s="116">
        <f>ROUND(G119,-3)</f>
        <v>214330000</v>
      </c>
      <c r="J119" s="56"/>
      <c r="K119" s="57">
        <f>+K114+1</f>
        <v>74</v>
      </c>
    </row>
    <row r="120" spans="1:14" ht="12.75" customHeight="1" x14ac:dyDescent="0.2">
      <c r="A120" s="56"/>
      <c r="B120" s="78"/>
      <c r="C120" s="78"/>
      <c r="D120" s="78"/>
      <c r="E120" s="78"/>
      <c r="F120" s="78"/>
      <c r="G120" s="78"/>
      <c r="H120" s="78"/>
      <c r="I120" s="78"/>
      <c r="J120" s="56"/>
      <c r="K120" s="57"/>
    </row>
    <row r="121" spans="1:14" ht="12.75" customHeight="1" x14ac:dyDescent="0.2">
      <c r="A121" s="58" t="s">
        <v>448</v>
      </c>
      <c r="B121" s="96"/>
      <c r="C121" s="78"/>
      <c r="D121" s="96"/>
      <c r="E121" s="96"/>
      <c r="F121" s="78"/>
      <c r="G121" s="78"/>
      <c r="H121" s="78"/>
      <c r="I121" s="96">
        <f>+I112-I119</f>
        <v>555356000</v>
      </c>
      <c r="J121" s="56"/>
      <c r="K121" s="57">
        <f>+K119+1</f>
        <v>75</v>
      </c>
    </row>
    <row r="122" spans="1:14" ht="12.75" customHeight="1" x14ac:dyDescent="0.2">
      <c r="A122" s="56" t="s">
        <v>157</v>
      </c>
      <c r="B122" s="78"/>
      <c r="C122" s="78"/>
      <c r="D122" s="78" t="s">
        <v>12</v>
      </c>
      <c r="E122" s="78" t="s">
        <v>12</v>
      </c>
      <c r="F122" s="78"/>
      <c r="G122" s="78"/>
      <c r="H122" s="78"/>
      <c r="I122" s="78">
        <v>0</v>
      </c>
      <c r="J122" s="56"/>
      <c r="K122" s="57">
        <f>+K121+1</f>
        <v>76</v>
      </c>
    </row>
    <row r="123" spans="1:14" ht="12.75" customHeight="1" x14ac:dyDescent="0.2">
      <c r="A123" s="56" t="s">
        <v>228</v>
      </c>
      <c r="B123" s="78"/>
      <c r="C123" s="78"/>
      <c r="D123" s="78"/>
      <c r="E123" s="78"/>
      <c r="F123" s="78"/>
      <c r="G123" s="78"/>
      <c r="H123" s="78"/>
      <c r="I123" s="78">
        <f>ROUND(G123,-3)</f>
        <v>0</v>
      </c>
      <c r="J123" s="56"/>
      <c r="K123" s="57">
        <f>+K122+1</f>
        <v>77</v>
      </c>
      <c r="L123" s="9"/>
      <c r="M123" s="9"/>
      <c r="N123" s="9"/>
    </row>
    <row r="124" spans="1:14" ht="12.75" customHeight="1" x14ac:dyDescent="0.2">
      <c r="A124" s="56" t="s">
        <v>155</v>
      </c>
      <c r="B124" s="78"/>
      <c r="C124" s="78"/>
      <c r="D124" s="78"/>
      <c r="E124" s="78"/>
      <c r="F124" s="78"/>
      <c r="G124" s="78"/>
      <c r="H124" s="78"/>
      <c r="I124" s="116">
        <f>ROUND(G124,-3)</f>
        <v>0</v>
      </c>
      <c r="J124" s="56"/>
      <c r="K124" s="57">
        <f>+K123+1</f>
        <v>78</v>
      </c>
    </row>
    <row r="125" spans="1:14" ht="12.75" customHeight="1" x14ac:dyDescent="0.2">
      <c r="A125" s="56"/>
      <c r="B125" s="78"/>
      <c r="C125" s="78"/>
      <c r="D125" s="78"/>
      <c r="E125" s="78"/>
      <c r="F125" s="78"/>
      <c r="G125" s="78"/>
      <c r="H125" s="78"/>
      <c r="I125" s="78"/>
      <c r="J125" s="56"/>
      <c r="K125" s="57"/>
    </row>
    <row r="126" spans="1:14" ht="12.75" thickBot="1" x14ac:dyDescent="0.25">
      <c r="A126" s="58" t="s">
        <v>450</v>
      </c>
      <c r="B126" s="78"/>
      <c r="C126" s="78"/>
      <c r="D126" s="78"/>
      <c r="E126" s="78"/>
      <c r="F126" s="78"/>
      <c r="G126" s="78"/>
      <c r="H126" s="78"/>
      <c r="I126" s="86">
        <f>IF(I121&gt;I122,I121-I123+I124,I122-I123+I124)</f>
        <v>555356000</v>
      </c>
      <c r="J126" s="56"/>
      <c r="K126" s="57">
        <f>+K124+1</f>
        <v>79</v>
      </c>
      <c r="L126" s="9"/>
      <c r="M126" s="9"/>
      <c r="N126" s="9"/>
    </row>
    <row r="127" spans="1:14" ht="12.75" customHeight="1" thickTop="1" x14ac:dyDescent="0.2">
      <c r="A127" s="56"/>
      <c r="B127" s="78"/>
      <c r="C127" s="78"/>
      <c r="D127" s="78"/>
      <c r="E127" s="78"/>
      <c r="F127" s="78"/>
      <c r="G127" s="78"/>
      <c r="H127" s="78"/>
      <c r="I127" s="78"/>
      <c r="J127" s="56"/>
      <c r="K127" s="57"/>
      <c r="L127" s="13"/>
    </row>
    <row r="128" spans="1:14" ht="12.75" customHeight="1" x14ac:dyDescent="0.2">
      <c r="A128" s="108" t="s">
        <v>179</v>
      </c>
      <c r="B128" s="78"/>
      <c r="C128" s="78"/>
      <c r="D128" s="78"/>
      <c r="E128" s="78"/>
      <c r="F128" s="78"/>
      <c r="G128" s="78"/>
      <c r="H128" s="78"/>
      <c r="I128" s="78"/>
      <c r="J128" s="56"/>
      <c r="K128" s="57"/>
    </row>
    <row r="129" spans="1:11" ht="12.75" customHeight="1" x14ac:dyDescent="0.2">
      <c r="A129" s="56" t="s">
        <v>196</v>
      </c>
      <c r="B129" s="78"/>
      <c r="C129" s="78"/>
      <c r="D129" s="78"/>
      <c r="E129" s="78"/>
      <c r="F129" s="78"/>
      <c r="G129" s="78">
        <f>+'6. INVERSIONES'!F40</f>
        <v>26325000</v>
      </c>
      <c r="H129" s="78"/>
      <c r="I129" s="78"/>
      <c r="J129" s="56"/>
      <c r="K129" s="57"/>
    </row>
    <row r="130" spans="1:11" ht="12.75" customHeight="1" x14ac:dyDescent="0.2">
      <c r="A130" s="56" t="s">
        <v>197</v>
      </c>
      <c r="B130" s="78"/>
      <c r="C130" s="78"/>
      <c r="D130" s="78"/>
      <c r="E130" s="78"/>
      <c r="F130" s="78"/>
      <c r="G130" s="78">
        <f>+'9. VTA ACT FIJOS'!J17</f>
        <v>302490475</v>
      </c>
      <c r="H130" s="78"/>
      <c r="I130" s="78"/>
      <c r="J130" s="56"/>
      <c r="K130" s="56"/>
    </row>
    <row r="131" spans="1:11" ht="12.75" customHeight="1" x14ac:dyDescent="0.2">
      <c r="A131" s="56"/>
      <c r="B131" s="78"/>
      <c r="C131" s="78"/>
      <c r="D131" s="78"/>
      <c r="E131" s="78"/>
      <c r="F131" s="78"/>
      <c r="G131" s="118">
        <f>SUM(G129:G130)</f>
        <v>328815475</v>
      </c>
      <c r="H131" s="78"/>
      <c r="I131" s="78">
        <f>ROUND(G131,-3)</f>
        <v>328815000</v>
      </c>
      <c r="J131" s="56"/>
      <c r="K131" s="57">
        <f>+K126+1</f>
        <v>80</v>
      </c>
    </row>
    <row r="132" spans="1:11" ht="12.75" customHeight="1" x14ac:dyDescent="0.2">
      <c r="A132" s="56"/>
      <c r="B132" s="78"/>
      <c r="C132" s="78"/>
      <c r="D132" s="78"/>
      <c r="E132" s="78"/>
      <c r="F132" s="78"/>
      <c r="G132" s="78"/>
      <c r="H132" s="78"/>
      <c r="I132" s="78"/>
      <c r="J132" s="56"/>
      <c r="K132" s="57"/>
    </row>
    <row r="133" spans="1:11" ht="12.75" customHeight="1" x14ac:dyDescent="0.2">
      <c r="A133" s="108" t="s">
        <v>227</v>
      </c>
      <c r="B133" s="78"/>
      <c r="C133" s="78"/>
      <c r="D133" s="78"/>
      <c r="E133" s="78"/>
      <c r="F133" s="78"/>
      <c r="G133" s="78"/>
      <c r="H133" s="78"/>
      <c r="I133" s="78"/>
      <c r="J133" s="56"/>
      <c r="K133" s="57"/>
    </row>
    <row r="134" spans="1:11" ht="12.75" customHeight="1" x14ac:dyDescent="0.2">
      <c r="A134" s="56" t="s">
        <v>198</v>
      </c>
      <c r="B134" s="78"/>
      <c r="C134" s="78"/>
      <c r="D134" s="78"/>
      <c r="E134" s="78"/>
      <c r="F134" s="78"/>
      <c r="G134" s="78">
        <f>-'6. INVERSIONES'!F41</f>
        <v>23517354.021201003</v>
      </c>
      <c r="H134" s="78"/>
      <c r="I134" s="78"/>
      <c r="J134" s="56"/>
      <c r="K134" s="57"/>
    </row>
    <row r="135" spans="1:11" ht="12.75" customHeight="1" x14ac:dyDescent="0.2">
      <c r="A135" s="56" t="s">
        <v>199</v>
      </c>
      <c r="B135" s="78"/>
      <c r="C135" s="78"/>
      <c r="D135" s="78"/>
      <c r="E135" s="78"/>
      <c r="F135" s="78"/>
      <c r="G135" s="78">
        <f>+'9. VTA ACT FIJOS'!K17</f>
        <v>246490475</v>
      </c>
      <c r="H135" s="78"/>
      <c r="I135" s="78"/>
      <c r="J135" s="56"/>
      <c r="K135" s="56"/>
    </row>
    <row r="136" spans="1:11" ht="12.75" customHeight="1" x14ac:dyDescent="0.2">
      <c r="A136" s="56"/>
      <c r="B136" s="78"/>
      <c r="C136" s="78"/>
      <c r="D136" s="78"/>
      <c r="E136" s="78"/>
      <c r="F136" s="78"/>
      <c r="G136" s="118">
        <f>SUM(G134:G135)</f>
        <v>270007829.02120101</v>
      </c>
      <c r="H136" s="78"/>
      <c r="I136" s="78">
        <f>ROUND(G136,-3)</f>
        <v>270008000</v>
      </c>
      <c r="J136" s="56"/>
      <c r="K136" s="57">
        <v>81</v>
      </c>
    </row>
    <row r="137" spans="1:11" ht="12.75" customHeight="1" x14ac:dyDescent="0.2">
      <c r="A137" s="56"/>
      <c r="B137" s="78"/>
      <c r="C137" s="78"/>
      <c r="D137" s="78"/>
      <c r="E137" s="78"/>
      <c r="F137" s="78"/>
      <c r="G137" s="78"/>
      <c r="H137" s="78"/>
      <c r="I137" s="78"/>
      <c r="J137" s="56"/>
      <c r="K137" s="57"/>
    </row>
    <row r="138" spans="1:11" ht="12.75" customHeight="1" x14ac:dyDescent="0.2">
      <c r="A138" s="56" t="s">
        <v>180</v>
      </c>
      <c r="B138" s="78"/>
      <c r="C138" s="78"/>
      <c r="D138" s="78"/>
      <c r="E138" s="78"/>
      <c r="F138" s="78"/>
      <c r="G138" s="78"/>
      <c r="H138" s="78"/>
      <c r="I138" s="116">
        <f>ROUND(G138,-3)</f>
        <v>0</v>
      </c>
      <c r="J138" s="56"/>
      <c r="K138" s="57">
        <f>+K136+1</f>
        <v>82</v>
      </c>
    </row>
    <row r="139" spans="1:11" ht="12.75" customHeight="1" x14ac:dyDescent="0.2">
      <c r="A139" s="56"/>
      <c r="B139" s="78"/>
      <c r="C139" s="78"/>
      <c r="D139" s="78"/>
      <c r="E139" s="78"/>
      <c r="F139" s="78"/>
      <c r="G139" s="78"/>
      <c r="H139" s="78"/>
      <c r="I139" s="78"/>
      <c r="J139" s="56"/>
      <c r="K139" s="57"/>
    </row>
    <row r="140" spans="1:11" ht="12.75" customHeight="1" thickBot="1" x14ac:dyDescent="0.25">
      <c r="A140" s="58" t="s">
        <v>181</v>
      </c>
      <c r="B140" s="96"/>
      <c r="C140" s="96"/>
      <c r="D140" s="96"/>
      <c r="E140" s="96"/>
      <c r="F140" s="96"/>
      <c r="G140" s="96"/>
      <c r="H140" s="96"/>
      <c r="I140" s="86">
        <f>+I131-I136-I138</f>
        <v>58807000</v>
      </c>
      <c r="J140" s="56"/>
      <c r="K140" s="57">
        <f>+K138+1</f>
        <v>83</v>
      </c>
    </row>
    <row r="141" spans="1:11" ht="12.75" customHeight="1" thickTop="1" x14ac:dyDescent="0.2">
      <c r="A141" s="56"/>
      <c r="B141" s="78"/>
      <c r="C141" s="78"/>
      <c r="D141" s="78"/>
      <c r="E141" s="78"/>
      <c r="F141" s="78"/>
      <c r="G141" s="78"/>
      <c r="H141" s="78"/>
      <c r="I141" s="78"/>
      <c r="J141" s="56"/>
      <c r="K141" s="57"/>
    </row>
    <row r="142" spans="1:11" x14ac:dyDescent="0.2">
      <c r="E142" s="6"/>
    </row>
    <row r="143" spans="1:11" x14ac:dyDescent="0.2">
      <c r="E143" s="6"/>
    </row>
    <row r="144" spans="1:11" x14ac:dyDescent="0.2">
      <c r="E144" s="6"/>
    </row>
    <row r="145" spans="5:5" x14ac:dyDescent="0.2">
      <c r="E145" s="6"/>
    </row>
    <row r="146" spans="5:5" x14ac:dyDescent="0.2">
      <c r="E146" s="6"/>
    </row>
    <row r="147" spans="5:5" x14ac:dyDescent="0.2">
      <c r="E147" s="6"/>
    </row>
    <row r="148" spans="5:5" x14ac:dyDescent="0.2">
      <c r="E148" s="6"/>
    </row>
    <row r="149" spans="5:5" x14ac:dyDescent="0.2">
      <c r="E149" s="6"/>
    </row>
    <row r="150" spans="5:5" x14ac:dyDescent="0.2">
      <c r="E150" s="6"/>
    </row>
    <row r="151" spans="5:5" x14ac:dyDescent="0.2">
      <c r="E151" s="6"/>
    </row>
    <row r="152" spans="5:5" x14ac:dyDescent="0.2">
      <c r="E152" s="6"/>
    </row>
    <row r="153" spans="5:5" x14ac:dyDescent="0.2">
      <c r="E153" s="6"/>
    </row>
    <row r="154" spans="5:5" x14ac:dyDescent="0.2">
      <c r="E154" s="6"/>
    </row>
    <row r="155" spans="5:5" x14ac:dyDescent="0.2">
      <c r="E155" s="6"/>
    </row>
    <row r="156" spans="5:5" x14ac:dyDescent="0.2">
      <c r="E156" s="6"/>
    </row>
    <row r="157" spans="5:5" x14ac:dyDescent="0.2">
      <c r="E157" s="6"/>
    </row>
    <row r="158" spans="5:5" x14ac:dyDescent="0.2">
      <c r="E158" s="6"/>
    </row>
    <row r="159" spans="5:5" x14ac:dyDescent="0.2">
      <c r="E159" s="6"/>
    </row>
    <row r="160" spans="5:5" x14ac:dyDescent="0.2">
      <c r="E160" s="6"/>
    </row>
    <row r="161" spans="5:5" x14ac:dyDescent="0.2">
      <c r="E161" s="6"/>
    </row>
    <row r="162" spans="5:5" x14ac:dyDescent="0.2">
      <c r="E162" s="6"/>
    </row>
    <row r="163" spans="5:5" x14ac:dyDescent="0.2">
      <c r="E163" s="6"/>
    </row>
    <row r="164" spans="5:5" x14ac:dyDescent="0.2">
      <c r="E164" s="6"/>
    </row>
    <row r="165" spans="5:5" x14ac:dyDescent="0.2">
      <c r="E165" s="6"/>
    </row>
    <row r="166" spans="5:5" x14ac:dyDescent="0.2">
      <c r="E166" s="6"/>
    </row>
    <row r="167" spans="5:5" x14ac:dyDescent="0.2">
      <c r="E167" s="6"/>
    </row>
    <row r="168" spans="5:5" x14ac:dyDescent="0.2">
      <c r="E168" s="6"/>
    </row>
    <row r="169" spans="5:5" x14ac:dyDescent="0.2">
      <c r="E169" s="6"/>
    </row>
    <row r="170" spans="5:5" x14ac:dyDescent="0.2">
      <c r="E170" s="6"/>
    </row>
    <row r="171" spans="5:5" x14ac:dyDescent="0.2">
      <c r="E171" s="6"/>
    </row>
  </sheetData>
  <sheetProtection algorithmName="SHA-512" hashValue="5h95aT5CIuOf3KQb+TR/FBfZCOF2E8jPdryGM2C/YI7Rfayw+2COaC6svnQbwPznuMP8754g+wBmiXNA35A0Mw==" saltValue="6ELUdeyWFQ/X6cnAr9EbMA==" spinCount="100000" sheet="1" objects="1" scenarios="1"/>
  <phoneticPr fontId="7" type="noConversion"/>
  <printOptions horizontalCentered="1" verticalCentered="1"/>
  <pageMargins left="0.78740157480314965" right="0.78740157480314965" top="0.59055118110236227" bottom="0.59055118110236227" header="0.51181102362204722" footer="0.51181102362204722"/>
  <pageSetup scale="73" fitToHeight="2" orientation="portrait" horizontalDpi="1200" verticalDpi="1200" r:id="rId1"/>
  <headerFooter alignWithMargins="0">
    <oddHeader xml:space="preserve">&amp;C </oddHeader>
    <oddFooter xml:space="preserve">&amp;C </oddFooter>
  </headerFooter>
  <ignoredErrors>
    <ignoredError sqref="A1:K10 B31:J31 A80:K80 A73:K73 A67:A68 C68:D68 A18 C18:K18 A90:K90 A89 C89:K89 A28:J29 B27:J27 A32:J32 A22:K26 A100:K100 A91:J91 A108:K108 C107:K107 A109:J109 A137:K144 A136:J136 A83:K87 A82 C82:D82 A104:K106 A101 C101:K101 A13:K17 A123:K135 A122:H122 J122:K122 C67:H67 C20:C21 F21:K21 G88 E78:G78 K36:K47 A70:K70 B19 G19 E20:G20 A36 A33 C33:J33 G71 A110:K111 A39:J43 B37:J37 A34 K28:K34 C36:F36 H36:J36 G35:G36 B35:B36 A38:C38 D38:J38 D35 B78 D20:D21 E88 A21 A69:D69 F68:K69 A77:K77 A75:A76 C75:K75 A79 J79:K79 J67:K67 A55:K66 A53:H53 J53:K53 A11:A12 C11:K12 A48:K49 A114:K116 A113 C113:K113 A92:K93 B112:K112 A51:K52 A50 B50:K50 F82:K82 B20:B21 A30 B30:D30 F30:J30 A45:J47 A44:C44 D44:J44 F54:G54 D54 A72 B72:D72 F72:K72 A81:D81 E81:K81 C79:H79 B34:J34 A95:K95 A94 C94:K94 C76:D76 F76:K76 A97:K98 A96 C96:K96 O122 O121 A74 C74:K74 A102:A103 C102:K103 A119:K121 A117:C117 E117:K117 A118:C118 E118:K1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2"/>
  <sheetViews>
    <sheetView workbookViewId="0">
      <selection activeCell="G3" sqref="G3"/>
    </sheetView>
  </sheetViews>
  <sheetFormatPr baseColWidth="10" defaultRowHeight="12" x14ac:dyDescent="0.2"/>
  <cols>
    <col min="1" max="1" width="1.7109375" style="5" customWidth="1"/>
    <col min="2" max="2" width="61.5703125" style="5" bestFit="1" customWidth="1"/>
    <col min="3" max="3" width="1.42578125" style="5" bestFit="1" customWidth="1"/>
    <col min="4" max="4" width="13" style="5" bestFit="1" customWidth="1"/>
    <col min="5" max="5" width="13.28515625" style="5" bestFit="1" customWidth="1"/>
    <col min="6" max="6" width="1.28515625" style="5" customWidth="1"/>
    <col min="7" max="7" width="12" style="18" bestFit="1" customWidth="1"/>
    <col min="8" max="16384" width="11.42578125" style="5"/>
  </cols>
  <sheetData>
    <row r="1" spans="1:8" x14ac:dyDescent="0.2">
      <c r="A1" s="56"/>
      <c r="B1" s="54" t="str">
        <f>+'2. RENTA FISCAL'!A1</f>
        <v>EL EXPERTO S.A.S.</v>
      </c>
      <c r="C1" s="56"/>
      <c r="D1" s="56"/>
      <c r="E1" s="56"/>
      <c r="F1" s="56"/>
      <c r="G1" s="119"/>
      <c r="H1" s="10"/>
    </row>
    <row r="2" spans="1:8" x14ac:dyDescent="0.2">
      <c r="A2" s="56"/>
      <c r="B2" s="54" t="str">
        <f>+'2. RENTA FISCAL'!A2</f>
        <v>NIT 890.378.233 - 1</v>
      </c>
      <c r="C2" s="56"/>
      <c r="D2" s="56"/>
      <c r="E2" s="56"/>
      <c r="F2" s="56"/>
      <c r="G2" s="119"/>
      <c r="H2" s="10"/>
    </row>
    <row r="3" spans="1:8" x14ac:dyDescent="0.2">
      <c r="A3" s="56"/>
      <c r="B3" s="54" t="str">
        <f>+'2. RENTA FISCAL'!A3</f>
        <v>DECLARACION DE RENTA AÑO GRAVABLE 2024</v>
      </c>
      <c r="C3" s="56"/>
      <c r="D3" s="56"/>
      <c r="E3" s="56"/>
      <c r="F3" s="56"/>
      <c r="G3" s="120" t="s">
        <v>101</v>
      </c>
      <c r="H3" s="10"/>
    </row>
    <row r="4" spans="1:8" x14ac:dyDescent="0.2">
      <c r="A4" s="56"/>
      <c r="B4" s="54" t="s">
        <v>313</v>
      </c>
      <c r="C4" s="56"/>
      <c r="D4" s="56"/>
      <c r="E4" s="56"/>
      <c r="F4" s="56"/>
      <c r="G4" s="119"/>
      <c r="H4" s="10"/>
    </row>
    <row r="5" spans="1:8" x14ac:dyDescent="0.2">
      <c r="A5" s="56"/>
      <c r="B5" s="56"/>
      <c r="C5" s="56"/>
      <c r="D5" s="56"/>
      <c r="E5" s="56"/>
      <c r="F5" s="56"/>
      <c r="G5" s="119"/>
      <c r="H5" s="10"/>
    </row>
    <row r="6" spans="1:8" x14ac:dyDescent="0.2">
      <c r="A6" s="56"/>
      <c r="B6" s="56" t="s">
        <v>12</v>
      </c>
      <c r="C6" s="56"/>
      <c r="D6" s="59" t="s">
        <v>593</v>
      </c>
      <c r="E6" s="59" t="s">
        <v>594</v>
      </c>
      <c r="F6" s="59"/>
      <c r="G6" s="88"/>
      <c r="H6" s="10"/>
    </row>
    <row r="7" spans="1:8" s="8" customFormat="1" x14ac:dyDescent="0.2">
      <c r="A7" s="57"/>
      <c r="B7" s="76" t="s">
        <v>103</v>
      </c>
      <c r="C7" s="57"/>
      <c r="D7" s="57"/>
      <c r="E7" s="57"/>
      <c r="F7" s="57"/>
      <c r="G7" s="119">
        <f>+'2. RENTA FISCAL'!B112</f>
        <v>607764695.77563214</v>
      </c>
      <c r="H7" s="17"/>
    </row>
    <row r="8" spans="1:8" s="8" customFormat="1" x14ac:dyDescent="0.2">
      <c r="A8" s="57"/>
      <c r="B8" s="76" t="s">
        <v>104</v>
      </c>
      <c r="C8" s="57"/>
      <c r="D8" s="57"/>
      <c r="E8" s="57"/>
      <c r="F8" s="57"/>
      <c r="G8" s="121">
        <f>+'2. RENTA FISCAL'!B105</f>
        <v>247064146.84080631</v>
      </c>
      <c r="H8" s="17"/>
    </row>
    <row r="9" spans="1:8" s="8" customFormat="1" x14ac:dyDescent="0.2">
      <c r="A9" s="57"/>
      <c r="B9" s="54" t="s">
        <v>105</v>
      </c>
      <c r="C9" s="57"/>
      <c r="D9" s="57"/>
      <c r="E9" s="57"/>
      <c r="F9" s="57"/>
      <c r="G9" s="122">
        <f>SUM(G7:G8)</f>
        <v>854828842.61643839</v>
      </c>
      <c r="H9" s="17"/>
    </row>
    <row r="10" spans="1:8" s="8" customFormat="1" x14ac:dyDescent="0.2">
      <c r="A10" s="57"/>
      <c r="B10" s="57"/>
      <c r="C10" s="57"/>
      <c r="D10" s="57"/>
      <c r="E10" s="57"/>
      <c r="F10" s="57"/>
      <c r="G10" s="119"/>
      <c r="H10" s="17"/>
    </row>
    <row r="11" spans="1:8" x14ac:dyDescent="0.2">
      <c r="A11" s="56"/>
      <c r="B11" s="54" t="s">
        <v>201</v>
      </c>
      <c r="C11" s="56"/>
      <c r="D11" s="56"/>
      <c r="E11" s="56"/>
      <c r="F11" s="56"/>
      <c r="G11" s="88"/>
      <c r="H11" s="10"/>
    </row>
    <row r="12" spans="1:8" x14ac:dyDescent="0.2">
      <c r="A12" s="56"/>
      <c r="B12" s="91"/>
      <c r="C12" s="56"/>
      <c r="D12" s="56"/>
      <c r="E12" s="56"/>
      <c r="F12" s="56"/>
      <c r="G12" s="88"/>
      <c r="H12" s="10"/>
    </row>
    <row r="13" spans="1:8" x14ac:dyDescent="0.2">
      <c r="A13" s="56"/>
      <c r="B13" s="75" t="s">
        <v>626</v>
      </c>
      <c r="C13" s="56"/>
      <c r="D13" s="56"/>
      <c r="E13" s="56"/>
      <c r="F13" s="56"/>
      <c r="G13" s="88"/>
      <c r="H13" s="10"/>
    </row>
    <row r="14" spans="1:8" x14ac:dyDescent="0.2">
      <c r="A14" s="56"/>
      <c r="B14" s="56" t="s">
        <v>627</v>
      </c>
      <c r="C14" s="56"/>
      <c r="D14" s="119"/>
      <c r="E14" s="119">
        <f>+'2. RENTA FISCAL'!E30</f>
        <v>103500000</v>
      </c>
      <c r="F14" s="119"/>
      <c r="G14" s="88"/>
      <c r="H14" s="10"/>
    </row>
    <row r="15" spans="1:8" x14ac:dyDescent="0.2">
      <c r="A15" s="56"/>
      <c r="B15" s="56" t="s">
        <v>628</v>
      </c>
      <c r="C15" s="56"/>
      <c r="D15" s="56"/>
      <c r="E15" s="119">
        <f>+'2. RENTA FISCAL'!E22</f>
        <v>11262375.000000002</v>
      </c>
      <c r="F15" s="119"/>
      <c r="G15" s="88"/>
      <c r="H15" s="10"/>
    </row>
    <row r="16" spans="1:8" ht="11.25" customHeight="1" x14ac:dyDescent="0.2">
      <c r="A16" s="56"/>
      <c r="B16" s="56" t="s">
        <v>629</v>
      </c>
      <c r="C16" s="56"/>
      <c r="D16" s="119">
        <f>+'2. RENTA FISCAL'!E26</f>
        <v>52615000</v>
      </c>
      <c r="E16" s="119"/>
      <c r="F16" s="119"/>
      <c r="G16" s="88"/>
      <c r="H16" s="10"/>
    </row>
    <row r="17" spans="1:8" x14ac:dyDescent="0.2">
      <c r="A17" s="56"/>
      <c r="B17" s="56"/>
      <c r="C17" s="56"/>
      <c r="D17" s="121"/>
      <c r="E17" s="121"/>
      <c r="F17" s="119"/>
      <c r="G17" s="92"/>
      <c r="H17" s="10"/>
    </row>
    <row r="18" spans="1:8" x14ac:dyDescent="0.2">
      <c r="A18" s="56"/>
      <c r="B18" s="56"/>
      <c r="C18" s="56"/>
      <c r="D18" s="122">
        <f>SUM(D12:D17)</f>
        <v>52615000</v>
      </c>
      <c r="E18" s="122">
        <f>SUM(E12:E17)</f>
        <v>114762375</v>
      </c>
      <c r="F18" s="122"/>
      <c r="G18" s="122">
        <f>+D18+E18</f>
        <v>167377375</v>
      </c>
      <c r="H18" s="10"/>
    </row>
    <row r="19" spans="1:8" x14ac:dyDescent="0.2">
      <c r="A19" s="56"/>
      <c r="B19" s="56"/>
      <c r="C19" s="56"/>
      <c r="D19" s="119"/>
      <c r="E19" s="119"/>
      <c r="F19" s="119"/>
      <c r="G19" s="88"/>
      <c r="H19" s="10"/>
    </row>
    <row r="20" spans="1:8" x14ac:dyDescent="0.2">
      <c r="A20" s="56"/>
      <c r="B20" s="75" t="s">
        <v>164</v>
      </c>
      <c r="C20" s="56"/>
      <c r="D20" s="119"/>
      <c r="E20" s="119"/>
      <c r="F20" s="119"/>
      <c r="G20" s="88"/>
      <c r="H20" s="10"/>
    </row>
    <row r="21" spans="1:8" ht="11.25" customHeight="1" x14ac:dyDescent="0.2">
      <c r="A21" s="56"/>
      <c r="B21" s="56" t="s">
        <v>402</v>
      </c>
      <c r="C21" s="56"/>
      <c r="D21" s="119">
        <f>+'2. RENTA FISCAL'!E51</f>
        <v>39290000</v>
      </c>
      <c r="E21" s="119"/>
      <c r="F21" s="119"/>
      <c r="G21" s="88"/>
      <c r="H21" s="10"/>
    </row>
    <row r="22" spans="1:8" x14ac:dyDescent="0.2">
      <c r="A22" s="56"/>
      <c r="B22" s="56" t="s">
        <v>268</v>
      </c>
      <c r="C22" s="56"/>
      <c r="D22" s="56"/>
      <c r="E22" s="119">
        <f>+'2. RENTA FISCAL'!E52</f>
        <v>21138000</v>
      </c>
      <c r="F22" s="119"/>
      <c r="G22" s="88"/>
      <c r="H22" s="10"/>
    </row>
    <row r="23" spans="1:8" x14ac:dyDescent="0.2">
      <c r="A23" s="56"/>
      <c r="B23" s="56" t="s">
        <v>431</v>
      </c>
      <c r="C23" s="56"/>
      <c r="D23" s="56"/>
      <c r="E23" s="119">
        <f>+'2. RENTA FISCAL'!E53+'2. RENTA FISCAL'!E67+'2. RENTA FISCAL'!E79</f>
        <v>53109000</v>
      </c>
      <c r="F23" s="119"/>
      <c r="G23" s="88"/>
      <c r="H23" s="10"/>
    </row>
    <row r="24" spans="1:8" x14ac:dyDescent="0.2">
      <c r="A24" s="56"/>
      <c r="B24" s="56" t="s">
        <v>218</v>
      </c>
      <c r="C24" s="56"/>
      <c r="D24" s="56"/>
      <c r="E24" s="119">
        <f>-'13. LABORALES - INTS'!E13</f>
        <v>9250000</v>
      </c>
      <c r="F24" s="119"/>
      <c r="G24" s="88"/>
      <c r="H24" s="10"/>
    </row>
    <row r="25" spans="1:8" x14ac:dyDescent="0.2">
      <c r="A25" s="56"/>
      <c r="B25" s="56" t="s">
        <v>267</v>
      </c>
      <c r="C25" s="56"/>
      <c r="D25" s="56"/>
      <c r="E25" s="119">
        <f>-'13. LABORALES - INTS'!E15</f>
        <v>54943000</v>
      </c>
      <c r="F25" s="119"/>
      <c r="G25" s="88"/>
      <c r="H25" s="10"/>
    </row>
    <row r="26" spans="1:8" x14ac:dyDescent="0.2">
      <c r="A26" s="56"/>
      <c r="B26" s="56" t="s">
        <v>282</v>
      </c>
      <c r="C26" s="56"/>
      <c r="D26" s="56"/>
      <c r="E26" s="119">
        <f>+'2. RENTA FISCAL'!E68</f>
        <v>9000000</v>
      </c>
      <c r="F26" s="119"/>
      <c r="G26" s="88"/>
      <c r="H26" s="10"/>
    </row>
    <row r="27" spans="1:8" x14ac:dyDescent="0.2">
      <c r="A27" s="56"/>
      <c r="B27" s="56" t="s">
        <v>229</v>
      </c>
      <c r="C27" s="56"/>
      <c r="D27" s="56"/>
      <c r="E27" s="119">
        <f>+'2. RENTA FISCAL'!E70</f>
        <v>10956500</v>
      </c>
      <c r="F27" s="119"/>
      <c r="G27" s="88"/>
      <c r="H27" s="10"/>
    </row>
    <row r="28" spans="1:8" x14ac:dyDescent="0.2">
      <c r="A28" s="56"/>
      <c r="B28" s="56" t="s">
        <v>478</v>
      </c>
      <c r="C28" s="56"/>
      <c r="D28" s="56"/>
      <c r="E28" s="119">
        <f>+'2. RENTA FISCAL'!E72</f>
        <v>1005000</v>
      </c>
      <c r="F28" s="119"/>
      <c r="G28" s="88"/>
      <c r="H28" s="10"/>
    </row>
    <row r="29" spans="1:8" x14ac:dyDescent="0.2">
      <c r="A29" s="56"/>
      <c r="B29" s="56" t="s">
        <v>273</v>
      </c>
      <c r="C29" s="56"/>
      <c r="D29" s="56"/>
      <c r="E29" s="119">
        <f>+'2. RENTA FISCAL'!E76</f>
        <v>25091000</v>
      </c>
      <c r="F29" s="119"/>
      <c r="G29" s="88"/>
      <c r="H29" s="10"/>
    </row>
    <row r="30" spans="1:8" x14ac:dyDescent="0.2">
      <c r="A30" s="56"/>
      <c r="B30" s="56" t="s">
        <v>166</v>
      </c>
      <c r="C30" s="56"/>
      <c r="D30" s="56"/>
      <c r="E30" s="119">
        <f>+'2. RENTA FISCAL'!E80</f>
        <v>14780000</v>
      </c>
      <c r="F30" s="119"/>
      <c r="G30" s="88"/>
      <c r="H30" s="10"/>
    </row>
    <row r="31" spans="1:8" x14ac:dyDescent="0.2">
      <c r="A31" s="56"/>
      <c r="B31" s="56" t="s">
        <v>622</v>
      </c>
      <c r="C31" s="56"/>
      <c r="D31" s="56"/>
      <c r="E31" s="119">
        <f>+'2. RENTA FISCAL'!E81</f>
        <v>35760000</v>
      </c>
      <c r="F31" s="119"/>
      <c r="G31" s="88"/>
      <c r="H31" s="10"/>
    </row>
    <row r="32" spans="1:8" x14ac:dyDescent="0.2">
      <c r="A32" s="56"/>
      <c r="B32" s="56" t="s">
        <v>230</v>
      </c>
      <c r="C32" s="56"/>
      <c r="D32" s="56"/>
      <c r="E32" s="119">
        <f>+'13. LABORALES - INTS'!E77</f>
        <v>15942150.098096637</v>
      </c>
      <c r="F32" s="119"/>
      <c r="G32" s="88"/>
      <c r="H32" s="10"/>
    </row>
    <row r="33" spans="1:8" x14ac:dyDescent="0.2">
      <c r="A33" s="56"/>
      <c r="B33" s="56" t="s">
        <v>292</v>
      </c>
      <c r="C33" s="56"/>
      <c r="D33" s="119">
        <f>+'2. RENTA FISCAL'!E89</f>
        <v>1173000</v>
      </c>
      <c r="E33" s="119"/>
      <c r="F33" s="119"/>
      <c r="G33" s="88"/>
      <c r="H33" s="10"/>
    </row>
    <row r="34" spans="1:8" ht="11.25" customHeight="1" x14ac:dyDescent="0.2">
      <c r="A34" s="56"/>
      <c r="B34" s="56" t="s">
        <v>167</v>
      </c>
      <c r="C34" s="56"/>
      <c r="D34" s="56"/>
      <c r="E34" s="119">
        <f>+'2. RENTA FISCAL'!E94</f>
        <v>12744000</v>
      </c>
      <c r="F34" s="119"/>
      <c r="G34" s="88"/>
      <c r="H34" s="10"/>
    </row>
    <row r="35" spans="1:8" x14ac:dyDescent="0.2">
      <c r="A35" s="56"/>
      <c r="B35" s="56" t="s">
        <v>168</v>
      </c>
      <c r="C35" s="56"/>
      <c r="D35" s="56"/>
      <c r="E35" s="119">
        <f>+'2. RENTA FISCAL'!E95</f>
        <v>9012000</v>
      </c>
      <c r="F35" s="119"/>
      <c r="G35" s="88"/>
      <c r="H35" s="10"/>
    </row>
    <row r="36" spans="1:8" x14ac:dyDescent="0.2">
      <c r="A36" s="56"/>
      <c r="B36" s="56" t="s">
        <v>403</v>
      </c>
      <c r="C36" s="56"/>
      <c r="D36" s="56"/>
      <c r="E36" s="119">
        <f>+'2. RENTA FISCAL'!E96</f>
        <v>45200000</v>
      </c>
      <c r="F36" s="119"/>
      <c r="G36" s="88"/>
      <c r="H36" s="10"/>
    </row>
    <row r="37" spans="1:8" x14ac:dyDescent="0.2">
      <c r="A37" s="56"/>
      <c r="B37" s="56"/>
      <c r="C37" s="56"/>
      <c r="D37" s="121"/>
      <c r="E37" s="121"/>
      <c r="F37" s="119"/>
      <c r="G37" s="92"/>
      <c r="H37" s="10"/>
    </row>
    <row r="38" spans="1:8" s="9" customFormat="1" x14ac:dyDescent="0.2">
      <c r="A38" s="58"/>
      <c r="B38" s="58"/>
      <c r="C38" s="58"/>
      <c r="D38" s="122">
        <f>SUM(D20:D37)</f>
        <v>40463000</v>
      </c>
      <c r="E38" s="122">
        <f>SUM(E20:E37)</f>
        <v>317930650.09809661</v>
      </c>
      <c r="F38" s="122"/>
      <c r="G38" s="122">
        <f>+D38+E38</f>
        <v>358393650.09809661</v>
      </c>
    </row>
    <row r="39" spans="1:8" s="9" customFormat="1" x14ac:dyDescent="0.2">
      <c r="A39" s="58"/>
      <c r="B39" s="58"/>
      <c r="C39" s="58"/>
      <c r="D39" s="122"/>
      <c r="E39" s="122"/>
      <c r="F39" s="122"/>
      <c r="G39" s="122"/>
    </row>
    <row r="40" spans="1:8" x14ac:dyDescent="0.2">
      <c r="A40" s="56"/>
      <c r="B40" s="54" t="s">
        <v>202</v>
      </c>
      <c r="C40" s="56"/>
      <c r="D40" s="56"/>
      <c r="E40" s="56"/>
      <c r="F40" s="56"/>
      <c r="G40" s="119"/>
    </row>
    <row r="41" spans="1:8" x14ac:dyDescent="0.2">
      <c r="A41" s="56"/>
      <c r="B41" s="61"/>
      <c r="C41" s="56"/>
      <c r="D41" s="56"/>
      <c r="E41" s="56"/>
      <c r="F41" s="56"/>
      <c r="G41" s="119"/>
    </row>
    <row r="42" spans="1:8" x14ac:dyDescent="0.2">
      <c r="A42" s="56"/>
      <c r="B42" s="56" t="s">
        <v>106</v>
      </c>
      <c r="C42" s="56"/>
      <c r="D42" s="56"/>
      <c r="E42" s="119">
        <f>-'2. RENTA FISCAL'!D30</f>
        <v>-16650000</v>
      </c>
      <c r="F42" s="119"/>
      <c r="G42" s="88"/>
    </row>
    <row r="43" spans="1:8" x14ac:dyDescent="0.2">
      <c r="A43" s="56"/>
      <c r="B43" s="56" t="s">
        <v>107</v>
      </c>
      <c r="C43" s="56"/>
      <c r="D43" s="56"/>
      <c r="E43" s="119">
        <f>-'2. RENTA FISCAL'!D31</f>
        <v>-198450000</v>
      </c>
      <c r="F43" s="119"/>
      <c r="G43" s="88"/>
    </row>
    <row r="44" spans="1:8" x14ac:dyDescent="0.2">
      <c r="A44" s="56"/>
      <c r="B44" s="56" t="s">
        <v>108</v>
      </c>
      <c r="C44" s="56"/>
      <c r="D44" s="56"/>
      <c r="E44" s="119">
        <f>-'2. RENTA FISCAL'!D54</f>
        <v>-75000000</v>
      </c>
      <c r="F44" s="119"/>
      <c r="G44" s="88"/>
    </row>
    <row r="45" spans="1:8" ht="11.25" customHeight="1" x14ac:dyDescent="0.2">
      <c r="A45" s="56"/>
      <c r="B45" s="56"/>
      <c r="C45" s="56"/>
      <c r="D45" s="119"/>
      <c r="E45" s="119"/>
      <c r="F45" s="119"/>
      <c r="G45" s="88"/>
    </row>
    <row r="46" spans="1:8" ht="11.25" customHeight="1" x14ac:dyDescent="0.2">
      <c r="A46" s="56"/>
      <c r="B46" s="75" t="s">
        <v>275</v>
      </c>
      <c r="C46" s="56"/>
      <c r="D46" s="119"/>
      <c r="E46" s="119"/>
      <c r="F46" s="119"/>
      <c r="G46" s="88"/>
    </row>
    <row r="47" spans="1:8" ht="11.25" customHeight="1" x14ac:dyDescent="0.2">
      <c r="A47" s="56"/>
      <c r="B47" s="56" t="s">
        <v>529</v>
      </c>
      <c r="C47" s="56"/>
      <c r="D47" s="119">
        <f>-'2. RENTA FISCAL'!D20</f>
        <v>-25118489.999999963</v>
      </c>
      <c r="E47" s="119"/>
      <c r="F47" s="119"/>
      <c r="G47" s="88"/>
    </row>
    <row r="48" spans="1:8" ht="11.25" customHeight="1" x14ac:dyDescent="0.2">
      <c r="A48" s="56"/>
      <c r="B48" s="56" t="s">
        <v>595</v>
      </c>
      <c r="C48" s="56"/>
      <c r="D48" s="119">
        <f>-'2. RENTA FISCAL'!D21</f>
        <v>-26564703.999999914</v>
      </c>
      <c r="E48" s="119"/>
      <c r="F48" s="119"/>
      <c r="G48" s="88"/>
    </row>
    <row r="49" spans="1:7" ht="11.25" customHeight="1" x14ac:dyDescent="0.2">
      <c r="A49" s="56"/>
      <c r="B49" s="56" t="s">
        <v>276</v>
      </c>
      <c r="C49" s="56"/>
      <c r="D49" s="119">
        <f>-'2. RENTA FISCAL'!D32</f>
        <v>-29158000</v>
      </c>
      <c r="E49" s="119"/>
      <c r="F49" s="119"/>
      <c r="G49" s="88"/>
    </row>
    <row r="50" spans="1:7" x14ac:dyDescent="0.2">
      <c r="A50" s="56"/>
      <c r="B50" s="56" t="s">
        <v>404</v>
      </c>
      <c r="C50" s="56"/>
      <c r="D50" s="119">
        <f>-'2. RENTA FISCAL'!D33</f>
        <v>-16770000</v>
      </c>
      <c r="E50" s="119"/>
      <c r="F50" s="119"/>
      <c r="G50" s="88"/>
    </row>
    <row r="51" spans="1:7" ht="11.25" customHeight="1" x14ac:dyDescent="0.2">
      <c r="A51" s="56"/>
      <c r="B51" s="56" t="s">
        <v>389</v>
      </c>
      <c r="C51" s="56"/>
      <c r="D51" s="119">
        <f>-'2. RENTA FISCAL'!D34</f>
        <v>-34275000</v>
      </c>
      <c r="E51" s="119"/>
      <c r="F51" s="119"/>
      <c r="G51" s="88"/>
    </row>
    <row r="52" spans="1:7" ht="11.25" customHeight="1" x14ac:dyDescent="0.2">
      <c r="A52" s="56"/>
      <c r="B52" s="56" t="s">
        <v>563</v>
      </c>
      <c r="C52" s="56"/>
      <c r="D52" s="119">
        <f>-'2. RENTA FISCAL'!D35</f>
        <v>-35000000</v>
      </c>
      <c r="E52" s="119"/>
      <c r="F52" s="119"/>
      <c r="G52" s="88"/>
    </row>
    <row r="53" spans="1:7" x14ac:dyDescent="0.2">
      <c r="A53" s="56"/>
      <c r="B53" s="56"/>
      <c r="C53" s="56"/>
      <c r="D53" s="119"/>
      <c r="E53" s="119"/>
      <c r="F53" s="119"/>
      <c r="G53" s="88"/>
    </row>
    <row r="54" spans="1:7" x14ac:dyDescent="0.2">
      <c r="A54" s="56"/>
      <c r="B54" s="75" t="s">
        <v>405</v>
      </c>
      <c r="C54" s="56"/>
      <c r="D54" s="119"/>
      <c r="E54" s="119"/>
      <c r="F54" s="119"/>
      <c r="G54" s="88"/>
    </row>
    <row r="55" spans="1:7" x14ac:dyDescent="0.2">
      <c r="A55" s="56"/>
      <c r="B55" s="56" t="s">
        <v>163</v>
      </c>
      <c r="C55" s="56"/>
      <c r="D55" s="56"/>
      <c r="E55" s="119">
        <f>-'2. RENTA FISCAL'!D43</f>
        <v>-87175000</v>
      </c>
      <c r="F55" s="119"/>
      <c r="G55" s="88"/>
    </row>
    <row r="56" spans="1:7" x14ac:dyDescent="0.2">
      <c r="A56" s="56"/>
      <c r="B56" s="56" t="s">
        <v>419</v>
      </c>
      <c r="C56" s="56"/>
      <c r="D56" s="56"/>
      <c r="E56" s="119">
        <f>-'2. RENTA FISCAL'!D44</f>
        <v>-28500000</v>
      </c>
      <c r="F56" s="119"/>
      <c r="G56" s="88"/>
    </row>
    <row r="57" spans="1:7" ht="11.25" customHeight="1" x14ac:dyDescent="0.2">
      <c r="A57" s="56"/>
      <c r="B57" s="56"/>
      <c r="C57" s="56"/>
      <c r="D57" s="119"/>
      <c r="E57" s="119"/>
      <c r="F57" s="119"/>
      <c r="G57" s="88"/>
    </row>
    <row r="58" spans="1:7" ht="11.25" customHeight="1" x14ac:dyDescent="0.2">
      <c r="A58" s="56"/>
      <c r="B58" s="75" t="s">
        <v>165</v>
      </c>
      <c r="C58" s="56"/>
      <c r="D58" s="119"/>
      <c r="E58" s="119"/>
      <c r="F58" s="119"/>
      <c r="G58" s="88"/>
    </row>
    <row r="59" spans="1:7" ht="11.25" customHeight="1" x14ac:dyDescent="0.2">
      <c r="A59" s="56"/>
      <c r="B59" s="56" t="s">
        <v>530</v>
      </c>
      <c r="C59" s="56"/>
      <c r="D59" s="119">
        <f>-'2. RENTA FISCAL'!D88</f>
        <v>-11840000</v>
      </c>
      <c r="E59" s="119"/>
      <c r="F59" s="119"/>
      <c r="G59" s="88"/>
    </row>
    <row r="60" spans="1:7" x14ac:dyDescent="0.2">
      <c r="A60" s="56"/>
      <c r="B60" s="76" t="s">
        <v>169</v>
      </c>
      <c r="C60" s="56"/>
      <c r="D60" s="119">
        <f>-'2. RENTA FISCAL'!D77</f>
        <v>-9402595</v>
      </c>
      <c r="E60" s="119"/>
      <c r="F60" s="119"/>
      <c r="G60" s="88"/>
    </row>
    <row r="61" spans="1:7" ht="11.25" customHeight="1" x14ac:dyDescent="0.2">
      <c r="A61" s="56"/>
      <c r="B61" s="56" t="s">
        <v>564</v>
      </c>
      <c r="C61" s="56"/>
      <c r="D61" s="56"/>
      <c r="E61" s="119">
        <f>-'2. RENTA FISCAL'!D65</f>
        <v>-37020000</v>
      </c>
      <c r="F61" s="119"/>
      <c r="G61" s="88"/>
    </row>
    <row r="62" spans="1:7" x14ac:dyDescent="0.2">
      <c r="A62" s="56"/>
      <c r="B62" s="76"/>
      <c r="C62" s="56"/>
      <c r="D62" s="119"/>
      <c r="E62" s="119"/>
      <c r="F62" s="119"/>
      <c r="G62" s="88"/>
    </row>
    <row r="63" spans="1:7" x14ac:dyDescent="0.2">
      <c r="A63" s="56"/>
      <c r="B63" s="80" t="s">
        <v>409</v>
      </c>
      <c r="C63" s="56"/>
      <c r="D63" s="119">
        <f>-'2. RENTA FISCAL'!I119</f>
        <v>-214330000</v>
      </c>
      <c r="E63" s="119"/>
      <c r="F63" s="119"/>
      <c r="G63" s="88"/>
    </row>
    <row r="64" spans="1:7" x14ac:dyDescent="0.2">
      <c r="A64" s="56"/>
      <c r="B64" s="56"/>
      <c r="C64" s="56"/>
      <c r="D64" s="121"/>
      <c r="E64" s="121"/>
      <c r="F64" s="119"/>
      <c r="G64" s="123"/>
    </row>
    <row r="65" spans="1:8" x14ac:dyDescent="0.2">
      <c r="A65" s="56"/>
      <c r="B65" s="56"/>
      <c r="C65" s="56"/>
      <c r="D65" s="122">
        <f>SUM(D40:D64)</f>
        <v>-402458788.99999988</v>
      </c>
      <c r="E65" s="122">
        <f>SUM(E40:E64)</f>
        <v>-442795000</v>
      </c>
      <c r="F65" s="122"/>
      <c r="G65" s="122">
        <f>+D65+E65</f>
        <v>-845253788.99999988</v>
      </c>
    </row>
    <row r="66" spans="1:8" x14ac:dyDescent="0.2">
      <c r="A66" s="56"/>
      <c r="B66" s="56" t="s">
        <v>12</v>
      </c>
      <c r="C66" s="88" t="s">
        <v>12</v>
      </c>
      <c r="D66" s="119" t="s">
        <v>12</v>
      </c>
      <c r="E66" s="119"/>
      <c r="F66" s="119"/>
      <c r="G66" s="119" t="s">
        <v>12</v>
      </c>
    </row>
    <row r="67" spans="1:8" x14ac:dyDescent="0.2">
      <c r="A67" s="56"/>
      <c r="B67" s="56" t="s">
        <v>596</v>
      </c>
      <c r="C67" s="88"/>
      <c r="D67" s="119"/>
      <c r="E67" s="119"/>
      <c r="F67" s="119"/>
      <c r="G67" s="119">
        <f>SUM(G9:G65)</f>
        <v>535346078.71453512</v>
      </c>
    </row>
    <row r="68" spans="1:8" x14ac:dyDescent="0.2">
      <c r="A68" s="56"/>
      <c r="B68" s="56"/>
      <c r="C68" s="88"/>
      <c r="D68" s="119"/>
      <c r="E68" s="119"/>
      <c r="F68" s="119"/>
      <c r="G68" s="119"/>
    </row>
    <row r="69" spans="1:8" x14ac:dyDescent="0.2">
      <c r="A69" s="56"/>
      <c r="B69" s="56" t="s">
        <v>597</v>
      </c>
      <c r="C69" s="56"/>
      <c r="D69" s="56"/>
      <c r="E69" s="119"/>
      <c r="F69" s="119"/>
      <c r="G69" s="121">
        <f>+'2. RENTA FISCAL'!I109</f>
        <v>20010000</v>
      </c>
    </row>
    <row r="70" spans="1:8" x14ac:dyDescent="0.2">
      <c r="A70" s="56"/>
      <c r="B70" s="56"/>
      <c r="C70" s="88"/>
      <c r="D70" s="119"/>
      <c r="E70" s="119"/>
      <c r="F70" s="119"/>
      <c r="G70" s="119"/>
    </row>
    <row r="71" spans="1:8" ht="12.75" thickBot="1" x14ac:dyDescent="0.25">
      <c r="A71" s="56"/>
      <c r="B71" s="58" t="s">
        <v>109</v>
      </c>
      <c r="C71" s="56"/>
      <c r="D71" s="119"/>
      <c r="E71" s="119"/>
      <c r="F71" s="119"/>
      <c r="G71" s="124">
        <f>SUM(G67:G70)</f>
        <v>555356078.71453512</v>
      </c>
    </row>
    <row r="72" spans="1:8" ht="12.75" thickTop="1" x14ac:dyDescent="0.2">
      <c r="A72" s="56"/>
      <c r="B72" s="56"/>
      <c r="C72" s="56"/>
      <c r="D72" s="119" t="s">
        <v>12</v>
      </c>
      <c r="E72" s="119"/>
      <c r="F72" s="119"/>
      <c r="G72" s="119"/>
      <c r="H72" s="10"/>
    </row>
    <row r="73" spans="1:8" x14ac:dyDescent="0.2">
      <c r="A73" s="56"/>
      <c r="B73" s="56"/>
      <c r="C73" s="56"/>
      <c r="D73" s="56"/>
      <c r="E73" s="56"/>
      <c r="F73" s="56"/>
      <c r="G73" s="119">
        <f>+G71-'2. RENTA FISCAL'!I126</f>
        <v>78.714535117149353</v>
      </c>
    </row>
    <row r="74" spans="1:8" x14ac:dyDescent="0.2">
      <c r="G74" s="16"/>
    </row>
    <row r="75" spans="1:8" x14ac:dyDescent="0.2">
      <c r="G75" s="16"/>
    </row>
    <row r="76" spans="1:8" x14ac:dyDescent="0.2">
      <c r="G76" s="16"/>
    </row>
    <row r="77" spans="1:8" x14ac:dyDescent="0.2">
      <c r="G77" s="5"/>
    </row>
    <row r="78" spans="1:8" x14ac:dyDescent="0.2">
      <c r="G78" s="5"/>
    </row>
    <row r="79" spans="1:8" x14ac:dyDescent="0.2">
      <c r="G79" s="5"/>
    </row>
    <row r="80" spans="1:8" x14ac:dyDescent="0.2">
      <c r="G80" s="5"/>
    </row>
    <row r="81" spans="7:7" x14ac:dyDescent="0.2">
      <c r="G81" s="5"/>
    </row>
    <row r="82" spans="7:7" x14ac:dyDescent="0.2">
      <c r="G82" s="5"/>
    </row>
    <row r="83" spans="7:7" x14ac:dyDescent="0.2">
      <c r="G83" s="5"/>
    </row>
    <row r="84" spans="7:7" x14ac:dyDescent="0.2">
      <c r="G84" s="5"/>
    </row>
    <row r="85" spans="7:7" x14ac:dyDescent="0.2">
      <c r="G85" s="5"/>
    </row>
    <row r="86" spans="7:7" x14ac:dyDescent="0.2">
      <c r="G86" s="5"/>
    </row>
    <row r="87" spans="7:7" x14ac:dyDescent="0.2">
      <c r="G87" s="5"/>
    </row>
    <row r="88" spans="7:7" x14ac:dyDescent="0.2">
      <c r="G88" s="5"/>
    </row>
    <row r="89" spans="7:7" x14ac:dyDescent="0.2">
      <c r="G89" s="5"/>
    </row>
    <row r="90" spans="7:7" x14ac:dyDescent="0.2">
      <c r="G90" s="5"/>
    </row>
    <row r="91" spans="7:7" x14ac:dyDescent="0.2">
      <c r="G91" s="5"/>
    </row>
    <row r="92" spans="7:7" x14ac:dyDescent="0.2">
      <c r="G92" s="5"/>
    </row>
    <row r="93" spans="7:7" x14ac:dyDescent="0.2">
      <c r="G93" s="5"/>
    </row>
    <row r="94" spans="7:7" x14ac:dyDescent="0.2">
      <c r="G94" s="5"/>
    </row>
    <row r="95" spans="7:7" x14ac:dyDescent="0.2">
      <c r="G95" s="5"/>
    </row>
    <row r="96" spans="7:7" x14ac:dyDescent="0.2">
      <c r="G96" s="5"/>
    </row>
    <row r="97" spans="7:7" x14ac:dyDescent="0.2">
      <c r="G97" s="5"/>
    </row>
    <row r="98" spans="7:7" x14ac:dyDescent="0.2">
      <c r="G98" s="5"/>
    </row>
    <row r="99" spans="7:7" x14ac:dyDescent="0.2">
      <c r="G99" s="5"/>
    </row>
    <row r="100" spans="7:7" x14ac:dyDescent="0.2">
      <c r="G100" s="5"/>
    </row>
    <row r="101" spans="7:7" x14ac:dyDescent="0.2">
      <c r="G101" s="5"/>
    </row>
    <row r="102" spans="7:7" x14ac:dyDescent="0.2">
      <c r="G102" s="5"/>
    </row>
    <row r="103" spans="7:7" x14ac:dyDescent="0.2">
      <c r="G103" s="5"/>
    </row>
    <row r="104" spans="7:7" x14ac:dyDescent="0.2">
      <c r="G104" s="5"/>
    </row>
    <row r="105" spans="7:7" x14ac:dyDescent="0.2">
      <c r="G105" s="5"/>
    </row>
    <row r="106" spans="7:7" x14ac:dyDescent="0.2">
      <c r="G106" s="5"/>
    </row>
    <row r="107" spans="7:7" x14ac:dyDescent="0.2">
      <c r="G107" s="5"/>
    </row>
    <row r="108" spans="7:7" x14ac:dyDescent="0.2">
      <c r="G108" s="5"/>
    </row>
    <row r="109" spans="7:7" s="18" customFormat="1" x14ac:dyDescent="0.2"/>
    <row r="110" spans="7:7" s="18" customFormat="1" x14ac:dyDescent="0.2"/>
    <row r="111" spans="7:7" s="18" customFormat="1" x14ac:dyDescent="0.2"/>
    <row r="112" spans="7:7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</sheetData>
  <sheetProtection algorithmName="SHA-512" hashValue="FeGt4JDgqe96eFTeDqDXw5Nti9Rm+Ud2miVG2c8HHJUO+u2swBx4PzSDourZjnfB5V+jIP+1qNogk92u4Nm1+Q==" saltValue="FAxxFgnBEZl/N9rZMKTzOQ==" spinCount="100000" sheet="1" objects="1" scenarios="1"/>
  <phoneticPr fontId="7" type="noConversion"/>
  <printOptions horizontalCentered="1" verticalCentered="1"/>
  <pageMargins left="0.78740157480314965" right="0.78740157480314965" top="0.59055118110236227" bottom="0.59055118110236227" header="0.51181102362204722" footer="0.51181102362204722"/>
  <pageSetup scale="86" orientation="portrait" horizontalDpi="4294967292" verticalDpi="360" r:id="rId1"/>
  <headerFooter alignWithMargins="0">
    <oddHeader xml:space="preserve">&amp;C </oddHeader>
    <oddFooter xml:space="preserve">&amp;C </oddFooter>
  </headerFooter>
  <ignoredErrors>
    <ignoredError sqref="F71:F72 D59 D47 F14:G14 E15:G15 F48:G48 F51:G51 D49:D50 F53:G58 D52 F19:G20 D16 B19:C20 C61 B62:D63 B53:D54 B51:D51 C48:D48 C15 B1:D5 B33:D33 B60:D60 C71:D71 B72:D72 B6:C6 E22:E29 E30:E31 E32 B34:C36 E34:E36 F33:G44 B45:D46 B42:C44 E42:E44 B57:D58 B55:C56 E55:E56 E61 B66:D66 B64:E65 D19:D20 G67:G71 C14 E14 E38 B37:D41 F60:G66 D17:G18 B7:D12 F1:G12 F45:G46 D21" unlockedFormula="1"/>
    <ignoredError sqref="G73 G72" evalError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6"/>
  <sheetViews>
    <sheetView topLeftCell="A3" zoomScaleNormal="100" workbookViewId="0">
      <pane xSplit="2" ySplit="6" topLeftCell="C9" activePane="bottomRight" state="frozen"/>
      <selection activeCell="A3" sqref="A3"/>
      <selection pane="topRight" activeCell="C3" sqref="C3"/>
      <selection pane="bottomLeft" activeCell="A9" sqref="A9"/>
      <selection pane="bottomRight" activeCell="E3" sqref="E3"/>
    </sheetView>
  </sheetViews>
  <sheetFormatPr baseColWidth="10" defaultRowHeight="12.75" x14ac:dyDescent="0.2"/>
  <cols>
    <col min="1" max="1" width="1.7109375" style="20" customWidth="1"/>
    <col min="2" max="2" width="50.7109375" style="20" customWidth="1"/>
    <col min="3" max="3" width="12" style="19" customWidth="1"/>
    <col min="4" max="4" width="1.7109375" style="19" customWidth="1"/>
    <col min="5" max="5" width="12.7109375" style="19" customWidth="1"/>
    <col min="6" max="6" width="1.7109375" style="20" customWidth="1"/>
    <col min="7" max="7" width="10" style="21" bestFit="1" customWidth="1"/>
    <col min="8" max="8" width="1.7109375" style="20" customWidth="1"/>
    <col min="9" max="16384" width="11.42578125" style="20"/>
  </cols>
  <sheetData>
    <row r="1" spans="1:10" ht="12.75" customHeight="1" x14ac:dyDescent="0.2">
      <c r="A1" s="125"/>
      <c r="B1" s="126" t="str">
        <f>+'1. PATRIM FISCAL'!A1</f>
        <v>EL EXPERTO S.A.S.</v>
      </c>
      <c r="C1" s="127"/>
      <c r="D1" s="127"/>
      <c r="E1" s="127"/>
      <c r="F1" s="125"/>
      <c r="G1" s="128"/>
      <c r="H1" s="125"/>
    </row>
    <row r="2" spans="1:10" ht="12.75" customHeight="1" x14ac:dyDescent="0.2">
      <c r="A2" s="125"/>
      <c r="B2" s="126" t="str">
        <f>+'1. PATRIM FISCAL'!A2</f>
        <v>NIT 890.378.233 - 1</v>
      </c>
      <c r="C2" s="127"/>
      <c r="D2" s="127"/>
      <c r="E2" s="127"/>
      <c r="F2" s="125"/>
      <c r="G2" s="128"/>
      <c r="H2" s="125"/>
    </row>
    <row r="3" spans="1:10" ht="12.75" customHeight="1" x14ac:dyDescent="0.2">
      <c r="A3" s="125"/>
      <c r="B3" s="126" t="str">
        <f>+'1. PATRIM FISCAL'!A3</f>
        <v>DECLARACION DE RENTA AÑO GRAVABLE 2024</v>
      </c>
      <c r="C3" s="127"/>
      <c r="D3" s="127"/>
      <c r="E3" s="129" t="s">
        <v>327</v>
      </c>
      <c r="F3" s="125"/>
      <c r="G3" s="128"/>
      <c r="H3" s="125"/>
    </row>
    <row r="4" spans="1:10" ht="12.75" customHeight="1" x14ac:dyDescent="0.2">
      <c r="A4" s="125"/>
      <c r="B4" s="126" t="s">
        <v>349</v>
      </c>
      <c r="C4" s="127"/>
      <c r="D4" s="127"/>
      <c r="E4" s="127"/>
      <c r="F4" s="125"/>
      <c r="G4" s="128"/>
      <c r="H4" s="125"/>
    </row>
    <row r="5" spans="1:10" ht="12.75" customHeight="1" x14ac:dyDescent="0.2">
      <c r="A5" s="125"/>
      <c r="B5" s="130"/>
      <c r="C5" s="127"/>
      <c r="D5" s="127"/>
      <c r="E5" s="127"/>
      <c r="F5" s="125"/>
      <c r="G5" s="128"/>
      <c r="H5" s="125"/>
    </row>
    <row r="6" spans="1:10" ht="12.75" customHeight="1" x14ac:dyDescent="0.2">
      <c r="A6" s="125"/>
      <c r="B6" s="130"/>
      <c r="C6" s="131"/>
      <c r="D6" s="127"/>
      <c r="E6" s="131" t="s">
        <v>3</v>
      </c>
      <c r="F6" s="125"/>
      <c r="G6" s="132"/>
      <c r="H6" s="125"/>
    </row>
    <row r="7" spans="1:10" ht="12.75" customHeight="1" x14ac:dyDescent="0.2">
      <c r="A7" s="125"/>
      <c r="B7" s="130"/>
      <c r="C7" s="133" t="s">
        <v>64</v>
      </c>
      <c r="D7" s="127"/>
      <c r="E7" s="133" t="s">
        <v>184</v>
      </c>
      <c r="F7" s="125"/>
      <c r="G7" s="133" t="s">
        <v>115</v>
      </c>
      <c r="H7" s="125"/>
    </row>
    <row r="8" spans="1:10" ht="12.75" customHeight="1" x14ac:dyDescent="0.2">
      <c r="A8" s="125"/>
      <c r="B8" s="130"/>
      <c r="C8" s="134" t="s">
        <v>19</v>
      </c>
      <c r="D8" s="127"/>
      <c r="E8" s="135" t="str">
        <f>+'2. RENTA FISCAL'!I8</f>
        <v xml:space="preserve"> 31-12-24</v>
      </c>
      <c r="F8" s="125"/>
      <c r="G8" s="134" t="s">
        <v>116</v>
      </c>
      <c r="H8" s="125"/>
    </row>
    <row r="9" spans="1:10" ht="12.75" customHeight="1" x14ac:dyDescent="0.2">
      <c r="A9" s="125"/>
      <c r="B9" s="136"/>
      <c r="C9" s="127"/>
      <c r="D9" s="127"/>
      <c r="E9" s="127"/>
      <c r="F9" s="125"/>
      <c r="G9" s="128"/>
      <c r="H9" s="125"/>
    </row>
    <row r="10" spans="1:10" ht="12.75" customHeight="1" thickBot="1" x14ac:dyDescent="0.25">
      <c r="A10" s="125"/>
      <c r="B10" s="58" t="s">
        <v>246</v>
      </c>
      <c r="C10" s="127"/>
      <c r="D10" s="127"/>
      <c r="E10" s="137">
        <f>+'2. RENTA FISCAL'!I126</f>
        <v>555356000</v>
      </c>
      <c r="F10" s="125"/>
      <c r="G10" s="128">
        <f>+'2. RENTA FISCAL'!K126</f>
        <v>79</v>
      </c>
      <c r="H10" s="125"/>
    </row>
    <row r="11" spans="1:10" ht="12.75" customHeight="1" thickTop="1" x14ac:dyDescent="0.2">
      <c r="A11" s="125"/>
      <c r="B11" s="125"/>
      <c r="C11" s="127"/>
      <c r="D11" s="127"/>
      <c r="E11" s="127"/>
      <c r="F11" s="125"/>
      <c r="G11" s="128"/>
      <c r="H11" s="125"/>
    </row>
    <row r="12" spans="1:10" ht="12.75" customHeight="1" thickTop="1" thickBot="1" x14ac:dyDescent="0.25">
      <c r="A12" s="125"/>
      <c r="B12" s="138" t="s">
        <v>187</v>
      </c>
      <c r="C12" s="139"/>
      <c r="D12" s="139"/>
      <c r="E12" s="137">
        <f>+'2. RENTA FISCAL'!I140</f>
        <v>58807000</v>
      </c>
      <c r="F12" s="125"/>
      <c r="G12" s="128">
        <f>+'2. RENTA FISCAL'!K140</f>
        <v>83</v>
      </c>
      <c r="H12" s="125"/>
    </row>
    <row r="13" spans="1:10" ht="12.75" customHeight="1" thickTop="1" x14ac:dyDescent="0.2">
      <c r="A13" s="125"/>
      <c r="B13" s="125"/>
      <c r="C13" s="127"/>
      <c r="D13" s="127"/>
      <c r="E13" s="127"/>
      <c r="F13" s="125"/>
      <c r="G13" s="128"/>
      <c r="H13" s="125"/>
    </row>
    <row r="14" spans="1:10" ht="12.75" customHeight="1" x14ac:dyDescent="0.2">
      <c r="A14" s="125"/>
      <c r="B14" s="125" t="s">
        <v>520</v>
      </c>
      <c r="C14" s="127"/>
      <c r="D14" s="127"/>
      <c r="E14" s="140">
        <f>ROUND(+E10*35%,-3)</f>
        <v>194375000</v>
      </c>
      <c r="F14" s="125"/>
      <c r="G14" s="128">
        <f>+G12+1</f>
        <v>84</v>
      </c>
      <c r="H14" s="125"/>
    </row>
    <row r="15" spans="1:10" x14ac:dyDescent="0.2">
      <c r="A15" s="125"/>
      <c r="B15" s="141"/>
      <c r="C15" s="127"/>
      <c r="D15" s="127"/>
      <c r="E15" s="142"/>
      <c r="F15" s="125"/>
      <c r="G15" s="128"/>
      <c r="H15" s="125"/>
    </row>
    <row r="16" spans="1:10" x14ac:dyDescent="0.2">
      <c r="A16" s="125"/>
      <c r="B16" s="143" t="s">
        <v>454</v>
      </c>
      <c r="C16" s="139"/>
      <c r="D16" s="139"/>
      <c r="E16" s="144">
        <f>SUM(E14:E15)</f>
        <v>194375000</v>
      </c>
      <c r="F16" s="138"/>
      <c r="G16" s="128">
        <v>91</v>
      </c>
      <c r="H16" s="125"/>
      <c r="J16" s="4"/>
    </row>
    <row r="17" spans="1:10" ht="12.75" customHeight="1" x14ac:dyDescent="0.2">
      <c r="A17" s="125"/>
      <c r="B17" s="125"/>
      <c r="C17" s="127"/>
      <c r="D17" s="127"/>
      <c r="E17" s="140"/>
      <c r="F17" s="125"/>
      <c r="G17" s="128"/>
      <c r="H17" s="125"/>
    </row>
    <row r="18" spans="1:10" ht="12.75" customHeight="1" x14ac:dyDescent="0.2">
      <c r="A18" s="125"/>
      <c r="B18" s="125" t="s">
        <v>521</v>
      </c>
      <c r="C18" s="127"/>
      <c r="D18" s="127"/>
      <c r="E18" s="140"/>
      <c r="F18" s="125"/>
      <c r="G18" s="128">
        <f>+G16+1</f>
        <v>92</v>
      </c>
      <c r="H18" s="125"/>
    </row>
    <row r="19" spans="1:10" ht="12.75" customHeight="1" x14ac:dyDescent="0.2">
      <c r="A19" s="125"/>
      <c r="B19" s="125"/>
      <c r="C19" s="127"/>
      <c r="D19" s="127"/>
      <c r="E19" s="140"/>
      <c r="F19" s="125"/>
      <c r="G19" s="128"/>
      <c r="H19" s="125"/>
    </row>
    <row r="20" spans="1:10" ht="12.75" customHeight="1" x14ac:dyDescent="0.2">
      <c r="A20" s="125"/>
      <c r="B20" s="138" t="s">
        <v>222</v>
      </c>
      <c r="C20" s="127"/>
      <c r="D20" s="127"/>
      <c r="E20" s="140"/>
      <c r="F20" s="125"/>
      <c r="G20" s="128"/>
      <c r="H20" s="125"/>
    </row>
    <row r="21" spans="1:10" ht="12.75" customHeight="1" x14ac:dyDescent="0.2">
      <c r="A21" s="125"/>
      <c r="B21" s="125" t="s">
        <v>491</v>
      </c>
      <c r="C21" s="127">
        <f>+'1. PATRIM FISCAL'!E32</f>
        <v>66177000</v>
      </c>
      <c r="D21" s="127"/>
      <c r="E21" s="140"/>
      <c r="F21" s="125"/>
      <c r="G21" s="128"/>
      <c r="H21" s="125"/>
      <c r="I21" s="35"/>
      <c r="J21" s="19"/>
    </row>
    <row r="22" spans="1:10" ht="12.75" customHeight="1" x14ac:dyDescent="0.2">
      <c r="A22" s="125"/>
      <c r="B22" s="125" t="s">
        <v>474</v>
      </c>
      <c r="C22" s="127">
        <f>+'10. INGRESOS'!E60</f>
        <v>16048000</v>
      </c>
      <c r="D22" s="127"/>
      <c r="E22" s="140"/>
      <c r="F22" s="125"/>
      <c r="G22" s="128"/>
      <c r="H22" s="125"/>
    </row>
    <row r="23" spans="1:10" ht="12.75" customHeight="1" x14ac:dyDescent="0.2">
      <c r="A23" s="125"/>
      <c r="B23" s="125" t="s">
        <v>323</v>
      </c>
      <c r="C23" s="145">
        <f>+'2. RENTA FISCAL'!B96*25%</f>
        <v>11300000</v>
      </c>
      <c r="D23" s="127"/>
      <c r="E23" s="146">
        <f>ROUND(SUM(C20:C23),-3)</f>
        <v>93525000</v>
      </c>
      <c r="F23" s="125"/>
      <c r="G23" s="128">
        <f>+G18+1</f>
        <v>93</v>
      </c>
      <c r="H23" s="125"/>
    </row>
    <row r="24" spans="1:10" ht="12.75" customHeight="1" x14ac:dyDescent="0.2">
      <c r="A24" s="125"/>
      <c r="B24" s="125"/>
      <c r="C24" s="127"/>
      <c r="D24" s="127"/>
      <c r="E24" s="127"/>
      <c r="F24" s="125"/>
      <c r="G24" s="128"/>
      <c r="H24" s="125"/>
    </row>
    <row r="25" spans="1:10" ht="12.75" customHeight="1" x14ac:dyDescent="0.2">
      <c r="A25" s="125"/>
      <c r="B25" s="138" t="s">
        <v>522</v>
      </c>
      <c r="C25" s="139"/>
      <c r="D25" s="139"/>
      <c r="E25" s="144">
        <f>E16-E23</f>
        <v>100850000</v>
      </c>
      <c r="F25" s="125"/>
      <c r="G25" s="128">
        <f>+G23+1</f>
        <v>94</v>
      </c>
      <c r="H25" s="125"/>
      <c r="J25" s="35"/>
    </row>
    <row r="26" spans="1:10" ht="12.75" customHeight="1" x14ac:dyDescent="0.2">
      <c r="A26" s="125"/>
      <c r="B26" s="125" t="s">
        <v>524</v>
      </c>
      <c r="C26" s="127"/>
      <c r="D26" s="127"/>
      <c r="E26" s="140">
        <f>+'17. TTD - ANTICIPO'!F41</f>
        <v>0</v>
      </c>
      <c r="F26" s="125"/>
      <c r="G26" s="128">
        <f>+G25+1</f>
        <v>95</v>
      </c>
      <c r="H26" s="125"/>
      <c r="J26" s="35"/>
    </row>
    <row r="27" spans="1:10" ht="12.75" customHeight="1" x14ac:dyDescent="0.2">
      <c r="A27" s="125"/>
      <c r="B27" s="138" t="s">
        <v>523</v>
      </c>
      <c r="C27" s="139"/>
      <c r="D27" s="139"/>
      <c r="E27" s="144">
        <f>+E25+E26</f>
        <v>100850000</v>
      </c>
      <c r="F27" s="125"/>
      <c r="G27" s="128">
        <f>+G26+1</f>
        <v>96</v>
      </c>
      <c r="H27" s="125"/>
      <c r="J27" s="35"/>
    </row>
    <row r="28" spans="1:10" ht="12.75" customHeight="1" x14ac:dyDescent="0.2">
      <c r="A28" s="125"/>
      <c r="B28" s="138" t="s">
        <v>158</v>
      </c>
      <c r="C28" s="139"/>
      <c r="D28" s="139"/>
      <c r="E28" s="144">
        <f>ROUND(+E12*15%,-3)</f>
        <v>8821000</v>
      </c>
      <c r="F28" s="125"/>
      <c r="G28" s="128">
        <f>+G27+1</f>
        <v>97</v>
      </c>
      <c r="H28" s="125"/>
    </row>
    <row r="29" spans="1:10" ht="12.75" customHeight="1" x14ac:dyDescent="0.2">
      <c r="A29" s="125"/>
      <c r="B29" s="125" t="s">
        <v>340</v>
      </c>
      <c r="C29" s="127"/>
      <c r="D29" s="127"/>
      <c r="E29" s="146">
        <v>0</v>
      </c>
      <c r="F29" s="125"/>
      <c r="G29" s="128">
        <f>+G28+1</f>
        <v>98</v>
      </c>
      <c r="H29" s="125"/>
    </row>
    <row r="30" spans="1:10" ht="12.75" customHeight="1" x14ac:dyDescent="0.2">
      <c r="A30" s="125"/>
      <c r="B30" s="125"/>
      <c r="C30" s="127"/>
      <c r="D30" s="127"/>
      <c r="E30" s="147"/>
      <c r="F30" s="125"/>
      <c r="G30" s="128"/>
      <c r="H30" s="125"/>
    </row>
    <row r="31" spans="1:10" ht="12.75" customHeight="1" thickBot="1" x14ac:dyDescent="0.25">
      <c r="A31" s="125"/>
      <c r="B31" s="138" t="s">
        <v>123</v>
      </c>
      <c r="C31" s="139"/>
      <c r="D31" s="139"/>
      <c r="E31" s="148">
        <f>+E27+E28-E29</f>
        <v>109671000</v>
      </c>
      <c r="F31" s="138"/>
      <c r="G31" s="128">
        <f>+G29+1</f>
        <v>99</v>
      </c>
      <c r="H31" s="125"/>
      <c r="I31" s="19"/>
      <c r="J31" s="4"/>
    </row>
    <row r="32" spans="1:10" ht="13.5" thickTop="1" x14ac:dyDescent="0.2">
      <c r="A32" s="125"/>
      <c r="B32" s="125"/>
      <c r="C32" s="127"/>
      <c r="D32" s="127"/>
      <c r="E32" s="147"/>
      <c r="F32" s="125"/>
      <c r="G32" s="128"/>
      <c r="H32" s="125"/>
      <c r="I32" s="7"/>
    </row>
    <row r="33" spans="1:10" hidden="1" x14ac:dyDescent="0.2">
      <c r="A33" s="125"/>
      <c r="B33" s="125" t="s">
        <v>525</v>
      </c>
      <c r="C33" s="127"/>
      <c r="D33" s="127"/>
      <c r="E33" s="147">
        <v>0</v>
      </c>
      <c r="F33" s="125"/>
      <c r="G33" s="128">
        <f>+G31+1</f>
        <v>100</v>
      </c>
      <c r="H33" s="125"/>
      <c r="I33" s="7"/>
    </row>
    <row r="34" spans="1:10" hidden="1" x14ac:dyDescent="0.2">
      <c r="A34" s="125"/>
      <c r="B34" s="125" t="s">
        <v>341</v>
      </c>
      <c r="C34" s="127"/>
      <c r="D34" s="127"/>
      <c r="E34" s="147">
        <v>0</v>
      </c>
      <c r="F34" s="125"/>
      <c r="G34" s="128">
        <f t="shared" ref="G34:G44" si="0">+G33+1</f>
        <v>101</v>
      </c>
      <c r="H34" s="125"/>
      <c r="I34" s="7"/>
    </row>
    <row r="35" spans="1:10" hidden="1" x14ac:dyDescent="0.2">
      <c r="A35" s="125"/>
      <c r="B35" s="125" t="s">
        <v>487</v>
      </c>
      <c r="C35" s="127"/>
      <c r="D35" s="127"/>
      <c r="E35" s="147">
        <v>0</v>
      </c>
      <c r="F35" s="125"/>
      <c r="G35" s="128">
        <f t="shared" si="0"/>
        <v>102</v>
      </c>
      <c r="H35" s="125"/>
      <c r="I35" s="7"/>
    </row>
    <row r="36" spans="1:10" x14ac:dyDescent="0.2">
      <c r="A36" s="125"/>
      <c r="B36" s="125" t="s">
        <v>342</v>
      </c>
      <c r="C36" s="127"/>
      <c r="D36" s="127"/>
      <c r="E36" s="147">
        <v>8379000</v>
      </c>
      <c r="F36" s="125"/>
      <c r="G36" s="128">
        <f t="shared" si="0"/>
        <v>103</v>
      </c>
      <c r="H36" s="125"/>
      <c r="I36" s="7"/>
    </row>
    <row r="37" spans="1:10" x14ac:dyDescent="0.2">
      <c r="A37" s="125"/>
      <c r="B37" s="125" t="s">
        <v>343</v>
      </c>
      <c r="C37" s="127"/>
      <c r="D37" s="127"/>
      <c r="E37" s="147">
        <v>0</v>
      </c>
      <c r="F37" s="125"/>
      <c r="G37" s="128">
        <f t="shared" si="0"/>
        <v>104</v>
      </c>
      <c r="H37" s="125"/>
      <c r="I37" s="7"/>
    </row>
    <row r="38" spans="1:10" ht="12.75" customHeight="1" x14ac:dyDescent="0.2">
      <c r="A38" s="125"/>
      <c r="B38" s="125" t="s">
        <v>159</v>
      </c>
      <c r="C38" s="127"/>
      <c r="D38" s="127"/>
      <c r="E38" s="147">
        <f>ROUND('1. PATRIM FISCAL'!E34,-3)</f>
        <v>35402000</v>
      </c>
      <c r="F38" s="125"/>
      <c r="G38" s="128">
        <f>+G37+1</f>
        <v>105</v>
      </c>
      <c r="H38" s="125"/>
      <c r="I38" s="7"/>
    </row>
    <row r="39" spans="1:10" ht="12.75" customHeight="1" x14ac:dyDescent="0.2">
      <c r="A39" s="125"/>
      <c r="B39" s="125" t="s">
        <v>160</v>
      </c>
      <c r="C39" s="127"/>
      <c r="D39" s="127"/>
      <c r="E39" s="146">
        <f>ROUND(+'1. PATRIM FISCAL'!E33,-3)</f>
        <v>54182000</v>
      </c>
      <c r="F39" s="125"/>
      <c r="G39" s="128">
        <f t="shared" si="0"/>
        <v>106</v>
      </c>
      <c r="H39" s="125"/>
      <c r="I39" s="7"/>
    </row>
    <row r="40" spans="1:10" ht="12.75" customHeight="1" x14ac:dyDescent="0.2">
      <c r="A40" s="125"/>
      <c r="B40" s="138" t="s">
        <v>344</v>
      </c>
      <c r="C40" s="127"/>
      <c r="D40" s="139"/>
      <c r="E40" s="149">
        <f>SUM(E38:E39)</f>
        <v>89584000</v>
      </c>
      <c r="F40" s="138"/>
      <c r="G40" s="128">
        <f t="shared" si="0"/>
        <v>107</v>
      </c>
      <c r="H40" s="125"/>
      <c r="I40" s="7"/>
    </row>
    <row r="41" spans="1:10" ht="12.75" customHeight="1" x14ac:dyDescent="0.2">
      <c r="A41" s="125"/>
      <c r="B41" s="138"/>
      <c r="C41" s="127"/>
      <c r="D41" s="139"/>
      <c r="E41" s="149"/>
      <c r="F41" s="138"/>
      <c r="G41" s="128"/>
      <c r="H41" s="125"/>
      <c r="I41" s="7"/>
    </row>
    <row r="42" spans="1:10" x14ac:dyDescent="0.2">
      <c r="A42" s="125"/>
      <c r="B42" s="125" t="s">
        <v>345</v>
      </c>
      <c r="C42" s="127"/>
      <c r="D42" s="127"/>
      <c r="E42" s="147">
        <f>'17. TTD - ANTICIPO'!F62</f>
        <v>0</v>
      </c>
      <c r="F42" s="125"/>
      <c r="G42" s="128">
        <f>+G40+1</f>
        <v>108</v>
      </c>
      <c r="H42" s="125"/>
      <c r="I42" s="7"/>
    </row>
    <row r="43" spans="1:10" x14ac:dyDescent="0.2">
      <c r="A43" s="125"/>
      <c r="B43" s="125" t="s">
        <v>526</v>
      </c>
      <c r="C43" s="127"/>
      <c r="D43" s="127"/>
      <c r="E43" s="127">
        <v>0</v>
      </c>
      <c r="F43" s="125"/>
      <c r="G43" s="128">
        <f t="shared" si="0"/>
        <v>109</v>
      </c>
      <c r="H43" s="125"/>
      <c r="I43" s="7"/>
    </row>
    <row r="44" spans="1:10" x14ac:dyDescent="0.2">
      <c r="A44" s="125"/>
      <c r="B44" s="125" t="s">
        <v>527</v>
      </c>
      <c r="C44" s="127"/>
      <c r="D44" s="127"/>
      <c r="E44" s="150">
        <v>0</v>
      </c>
      <c r="F44" s="125"/>
      <c r="G44" s="128">
        <f t="shared" si="0"/>
        <v>110</v>
      </c>
      <c r="H44" s="125"/>
      <c r="I44" s="7"/>
    </row>
    <row r="45" spans="1:10" x14ac:dyDescent="0.2">
      <c r="A45" s="125"/>
      <c r="B45" s="125"/>
      <c r="C45" s="127"/>
      <c r="D45" s="127"/>
      <c r="E45" s="127"/>
      <c r="F45" s="125"/>
      <c r="G45" s="128"/>
      <c r="H45" s="125"/>
    </row>
    <row r="46" spans="1:10" x14ac:dyDescent="0.2">
      <c r="A46" s="125"/>
      <c r="B46" s="138" t="s">
        <v>488</v>
      </c>
      <c r="C46" s="127"/>
      <c r="D46" s="127"/>
      <c r="E46" s="149">
        <f>+E31-E33-E34-E35-E36-E37-E40+E42-E43+E44</f>
        <v>11708000</v>
      </c>
      <c r="F46" s="125"/>
      <c r="G46" s="128">
        <f>+G44+1</f>
        <v>111</v>
      </c>
      <c r="H46" s="125"/>
      <c r="J46" s="35"/>
    </row>
    <row r="47" spans="1:10" x14ac:dyDescent="0.2">
      <c r="A47" s="125"/>
      <c r="B47" s="138"/>
      <c r="C47" s="127"/>
      <c r="D47" s="127"/>
      <c r="E47" s="127"/>
      <c r="F47" s="125"/>
      <c r="G47" s="128"/>
      <c r="H47" s="125"/>
    </row>
    <row r="48" spans="1:10" x14ac:dyDescent="0.2">
      <c r="A48" s="125"/>
      <c r="B48" s="125" t="s">
        <v>161</v>
      </c>
      <c r="C48" s="127"/>
      <c r="D48" s="127"/>
      <c r="E48" s="150">
        <v>0</v>
      </c>
      <c r="F48" s="125"/>
      <c r="G48" s="128">
        <f>+G46+1</f>
        <v>112</v>
      </c>
      <c r="H48" s="125"/>
    </row>
    <row r="49" spans="1:8" x14ac:dyDescent="0.2">
      <c r="A49" s="125"/>
      <c r="B49" s="125"/>
      <c r="C49" s="127"/>
      <c r="D49" s="127"/>
      <c r="E49" s="127"/>
      <c r="F49" s="125"/>
      <c r="G49" s="128"/>
      <c r="H49" s="125"/>
    </row>
    <row r="50" spans="1:8" ht="13.5" thickBot="1" x14ac:dyDescent="0.25">
      <c r="A50" s="125"/>
      <c r="B50" s="138" t="s">
        <v>489</v>
      </c>
      <c r="C50" s="127"/>
      <c r="D50" s="127"/>
      <c r="E50" s="137">
        <f>SUM(E46:E49)</f>
        <v>11708000</v>
      </c>
      <c r="F50" s="125"/>
      <c r="G50" s="128">
        <f>+G48+1</f>
        <v>113</v>
      </c>
      <c r="H50" s="125"/>
    </row>
    <row r="51" spans="1:8" ht="13.5" thickTop="1" x14ac:dyDescent="0.2">
      <c r="A51" s="125"/>
      <c r="B51" s="125"/>
      <c r="C51" s="127"/>
      <c r="D51" s="127"/>
      <c r="E51" s="139"/>
      <c r="F51" s="125"/>
      <c r="G51" s="128"/>
      <c r="H51" s="125"/>
    </row>
    <row r="52" spans="1:8" ht="13.5" thickBot="1" x14ac:dyDescent="0.25">
      <c r="A52" s="125"/>
      <c r="B52" s="138" t="s">
        <v>124</v>
      </c>
      <c r="C52" s="127"/>
      <c r="D52" s="127"/>
      <c r="E52" s="137">
        <v>0</v>
      </c>
      <c r="F52" s="125"/>
      <c r="G52" s="128">
        <f>+G50+1</f>
        <v>114</v>
      </c>
      <c r="H52" s="125"/>
    </row>
    <row r="53" spans="1:8" s="19" customFormat="1" ht="13.5" thickTop="1" x14ac:dyDescent="0.2">
      <c r="A53" s="127"/>
      <c r="B53" s="125"/>
      <c r="C53" s="127"/>
      <c r="D53" s="127"/>
      <c r="E53" s="127"/>
      <c r="F53" s="125"/>
      <c r="G53" s="128"/>
      <c r="H53" s="127"/>
    </row>
    <row r="54" spans="1:8" s="19" customFormat="1" x14ac:dyDescent="0.2">
      <c r="A54" s="127"/>
      <c r="B54" s="125"/>
      <c r="C54" s="127"/>
      <c r="D54" s="127"/>
      <c r="E54" s="127"/>
      <c r="F54" s="125"/>
      <c r="G54" s="128"/>
      <c r="H54" s="127"/>
    </row>
    <row r="55" spans="1:8" s="19" customFormat="1" x14ac:dyDescent="0.2">
      <c r="A55" s="127"/>
      <c r="B55" s="125"/>
      <c r="C55" s="127"/>
      <c r="D55" s="127"/>
      <c r="E55" s="127"/>
      <c r="F55" s="125"/>
      <c r="G55" s="128"/>
      <c r="H55" s="127"/>
    </row>
    <row r="56" spans="1:8" s="19" customFormat="1" x14ac:dyDescent="0.2">
      <c r="A56" s="127"/>
      <c r="B56" s="151" t="s">
        <v>470</v>
      </c>
      <c r="C56" s="127"/>
      <c r="D56" s="127"/>
      <c r="E56" s="127"/>
      <c r="F56" s="125"/>
      <c r="G56" s="128"/>
      <c r="H56" s="127"/>
    </row>
    <row r="57" spans="1:8" s="19" customFormat="1" x14ac:dyDescent="0.2">
      <c r="A57" s="127"/>
      <c r="B57" s="125" t="s">
        <v>468</v>
      </c>
      <c r="C57" s="127">
        <f>+E25</f>
        <v>100850000</v>
      </c>
      <c r="D57" s="127"/>
      <c r="E57" s="127"/>
      <c r="F57" s="125"/>
      <c r="G57" s="128"/>
      <c r="H57" s="127"/>
    </row>
    <row r="58" spans="1:8" s="19" customFormat="1" x14ac:dyDescent="0.2">
      <c r="A58" s="127"/>
      <c r="B58" s="125" t="s">
        <v>467</v>
      </c>
      <c r="C58" s="127">
        <f>+'17. TTD - ANTICIPO'!F54</f>
        <v>79300000</v>
      </c>
      <c r="D58" s="127"/>
      <c r="E58" s="127"/>
      <c r="F58" s="125"/>
      <c r="G58" s="128"/>
      <c r="H58" s="127"/>
    </row>
    <row r="59" spans="1:8" s="19" customFormat="1" x14ac:dyDescent="0.2">
      <c r="A59" s="127"/>
      <c r="B59" s="125" t="s">
        <v>469</v>
      </c>
      <c r="C59" s="152">
        <f>+C57-C58</f>
        <v>21550000</v>
      </c>
      <c r="D59" s="127"/>
      <c r="E59" s="153">
        <f>+C59/C58</f>
        <v>0.27175283732660782</v>
      </c>
      <c r="F59" s="125"/>
      <c r="G59" s="128"/>
      <c r="H59" s="127"/>
    </row>
    <row r="60" spans="1:8" s="19" customFormat="1" x14ac:dyDescent="0.2">
      <c r="A60" s="127"/>
      <c r="B60" s="125" t="s">
        <v>486</v>
      </c>
      <c r="C60" s="127"/>
      <c r="D60" s="127"/>
      <c r="E60" s="154" t="str">
        <f>IF(E59&gt;=35%,"6 meses","12 meses")</f>
        <v>12 meses</v>
      </c>
      <c r="F60" s="125"/>
      <c r="G60" s="128"/>
      <c r="H60" s="127"/>
    </row>
    <row r="61" spans="1:8" s="19" customFormat="1" x14ac:dyDescent="0.2">
      <c r="A61" s="127"/>
      <c r="B61" s="125"/>
      <c r="C61" s="127"/>
      <c r="D61" s="127"/>
      <c r="E61" s="127"/>
      <c r="F61" s="125"/>
      <c r="G61" s="128"/>
      <c r="H61" s="127"/>
    </row>
    <row r="62" spans="1:8" s="19" customFormat="1" x14ac:dyDescent="0.2">
      <c r="B62" s="20"/>
      <c r="F62" s="20"/>
      <c r="G62" s="21"/>
    </row>
    <row r="63" spans="1:8" s="19" customFormat="1" x14ac:dyDescent="0.2">
      <c r="B63" s="20"/>
      <c r="F63" s="20"/>
      <c r="G63" s="21"/>
    </row>
    <row r="64" spans="1:8" s="19" customFormat="1" x14ac:dyDescent="0.2">
      <c r="B64" s="20"/>
      <c r="F64" s="20"/>
      <c r="G64" s="21"/>
    </row>
    <row r="65" spans="2:7" s="19" customFormat="1" x14ac:dyDescent="0.2">
      <c r="B65" s="20"/>
      <c r="F65" s="20"/>
      <c r="G65" s="21"/>
    </row>
    <row r="66" spans="2:7" s="19" customFormat="1" x14ac:dyDescent="0.2">
      <c r="B66" s="20"/>
      <c r="F66" s="20"/>
      <c r="G66" s="21"/>
    </row>
  </sheetData>
  <sheetProtection algorithmName="SHA-512" hashValue="yb6sq9/RLaOoS9YZY9K1i7LeTy66g76aC+y3PHLqdEio0trI9fZzBrpocpmiDC8ZAt5LkmhRPSUwCcjjKqoseg==" saltValue="8EmbNCAkkmP/WMw1dhl1hg==" spinCount="100000" sheet="1" objects="1" scenarios="1"/>
  <printOptions horizontalCentered="1" verticalCentered="1"/>
  <pageMargins left="0.78740157480314965" right="0.59055118110236227" top="0.59055118110236227" bottom="0.59055118110236227" header="0.51181102362204722" footer="0.51181102362204722"/>
  <pageSetup scale="98" orientation="portrait" horizontalDpi="1200" verticalDpi="1200" r:id="rId1"/>
  <headerFooter alignWithMargins="0">
    <oddHeader xml:space="preserve">&amp;C </oddHeader>
    <oddFooter xml:space="preserve">&amp;C </oddFooter>
  </headerFooter>
  <ignoredErrors>
    <ignoredError sqref="B1:G6 B20:D20 C62:G62 B61:G61 C60:D60 B7 D7:G7 B42:D42 C33:D33 B34:D34 B36:D36 B37:D40 C43:D43 B45:D45 C44:D44 B8:G13 G15 B47:D49 C46:D46 B28:D32 C21:D21 B51:D59 C14:G14 G17 B15:F17 B22:D22 C25:D25 E25:F25 E22:F22 G24:G25 G29:G36 G20:G22 E51:G59 E21:F21 E29:F30 F50:G50 F46 E47:G49 E44:F44 E45:G45 E43:G43 E37:G40 E36:F36 E34:F34 E33:F33 E42:G42 E20:F20 E18:G19 G23 G44 E35:F35 E41:G41 E46 G46 E50 G28 E27:G27 B23:D24 E23:F24 E28:F28 E31:F32 E60:G60 E26:G2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6"/>
  <sheetViews>
    <sheetView workbookViewId="0">
      <selection activeCell="H3" sqref="H3"/>
    </sheetView>
  </sheetViews>
  <sheetFormatPr baseColWidth="10" defaultColWidth="11.42578125" defaultRowHeight="12.75" x14ac:dyDescent="0.2"/>
  <cols>
    <col min="1" max="1" width="1.7109375" style="20" customWidth="1"/>
    <col min="2" max="2" width="15.7109375" style="20" customWidth="1"/>
    <col min="3" max="3" width="14.7109375" style="20" customWidth="1"/>
    <col min="4" max="4" width="8.7109375" style="21" customWidth="1"/>
    <col min="5" max="5" width="9.7109375" style="21" customWidth="1"/>
    <col min="6" max="6" width="12.28515625" style="20" bestFit="1" customWidth="1"/>
    <col min="7" max="7" width="11.85546875" style="20" bestFit="1" customWidth="1"/>
    <col min="8" max="9" width="12.28515625" style="20" bestFit="1" customWidth="1"/>
    <col min="10" max="10" width="1.7109375" style="20" customWidth="1"/>
    <col min="11" max="16384" width="11.42578125" style="20"/>
  </cols>
  <sheetData>
    <row r="1" spans="1:10" x14ac:dyDescent="0.2">
      <c r="A1" s="125"/>
      <c r="B1" s="126" t="str">
        <f>+'2. RENTA FISCAL'!A1</f>
        <v>EL EXPERTO S.A.S.</v>
      </c>
      <c r="C1" s="125"/>
      <c r="D1" s="128"/>
      <c r="E1" s="128"/>
      <c r="F1" s="125"/>
      <c r="G1" s="125"/>
      <c r="H1" s="125"/>
      <c r="I1" s="125"/>
      <c r="J1" s="125"/>
    </row>
    <row r="2" spans="1:10" x14ac:dyDescent="0.2">
      <c r="A2" s="125"/>
      <c r="B2" s="126" t="str">
        <f>+'2. RENTA FISCAL'!A2</f>
        <v>NIT 890.378.233 - 1</v>
      </c>
      <c r="C2" s="125"/>
      <c r="D2" s="128"/>
      <c r="E2" s="128"/>
      <c r="F2" s="125"/>
      <c r="G2" s="125"/>
      <c r="H2" s="125"/>
      <c r="I2" s="125"/>
      <c r="J2" s="125"/>
    </row>
    <row r="3" spans="1:10" x14ac:dyDescent="0.2">
      <c r="A3" s="125"/>
      <c r="B3" s="126" t="str">
        <f>+'2. RENTA FISCAL'!A3</f>
        <v>DECLARACION DE RENTA AÑO GRAVABLE 2024</v>
      </c>
      <c r="C3" s="125"/>
      <c r="D3" s="128"/>
      <c r="E3" s="128"/>
      <c r="F3" s="125"/>
      <c r="G3" s="125"/>
      <c r="H3" s="59" t="s">
        <v>175</v>
      </c>
      <c r="I3" s="125"/>
      <c r="J3" s="125"/>
    </row>
    <row r="4" spans="1:10" x14ac:dyDescent="0.2">
      <c r="A4" s="125"/>
      <c r="B4" s="126" t="s">
        <v>635</v>
      </c>
      <c r="C4" s="125"/>
      <c r="D4" s="128"/>
      <c r="E4" s="128"/>
      <c r="F4" s="125"/>
      <c r="G4" s="125"/>
      <c r="H4" s="125"/>
      <c r="I4" s="125"/>
      <c r="J4" s="125"/>
    </row>
    <row r="5" spans="1:10" x14ac:dyDescent="0.2">
      <c r="A5" s="125"/>
      <c r="B5" s="155"/>
      <c r="C5" s="125"/>
      <c r="D5" s="128"/>
      <c r="E5" s="125"/>
      <c r="F5" s="125"/>
      <c r="G5" s="125"/>
      <c r="H5" s="125"/>
      <c r="I5" s="125"/>
      <c r="J5" s="125"/>
    </row>
    <row r="6" spans="1:10" x14ac:dyDescent="0.2">
      <c r="A6" s="125"/>
      <c r="B6" s="125"/>
      <c r="C6" s="125"/>
      <c r="D6" s="128"/>
      <c r="E6" s="125"/>
      <c r="F6" s="156" t="s">
        <v>328</v>
      </c>
      <c r="G6" s="157">
        <v>4409.1499999999996</v>
      </c>
      <c r="H6" s="125"/>
      <c r="I6" s="125"/>
      <c r="J6" s="125"/>
    </row>
    <row r="7" spans="1:10" x14ac:dyDescent="0.2">
      <c r="A7" s="125"/>
      <c r="B7" s="158"/>
      <c r="C7" s="159"/>
      <c r="D7" s="160"/>
      <c r="E7" s="160" t="s">
        <v>324</v>
      </c>
      <c r="F7" s="161" t="s">
        <v>64</v>
      </c>
      <c r="G7" s="162" t="s">
        <v>308</v>
      </c>
      <c r="H7" s="163" t="s">
        <v>64</v>
      </c>
      <c r="I7" s="164" t="s">
        <v>64</v>
      </c>
      <c r="J7" s="125"/>
    </row>
    <row r="8" spans="1:10" x14ac:dyDescent="0.2">
      <c r="A8" s="125"/>
      <c r="B8" s="165"/>
      <c r="C8" s="166"/>
      <c r="D8" s="167" t="s">
        <v>64</v>
      </c>
      <c r="E8" s="167" t="s">
        <v>309</v>
      </c>
      <c r="F8" s="167" t="s">
        <v>77</v>
      </c>
      <c r="G8" s="167" t="s">
        <v>309</v>
      </c>
      <c r="H8" s="168" t="s">
        <v>4</v>
      </c>
      <c r="I8" s="169" t="s">
        <v>6</v>
      </c>
      <c r="J8" s="125"/>
    </row>
    <row r="9" spans="1:10" x14ac:dyDescent="0.2">
      <c r="A9" s="125"/>
      <c r="B9" s="170"/>
      <c r="C9" s="171"/>
      <c r="D9" s="172" t="s">
        <v>307</v>
      </c>
      <c r="E9" s="172" t="s">
        <v>77</v>
      </c>
      <c r="F9" s="172" t="s">
        <v>312</v>
      </c>
      <c r="G9" s="173" t="s">
        <v>4</v>
      </c>
      <c r="H9" s="174" t="str">
        <f>+'6. INVERSIONES'!G8</f>
        <v xml:space="preserve"> 31-12-24</v>
      </c>
      <c r="I9" s="175" t="str">
        <f>+H9</f>
        <v xml:space="preserve"> 31-12-24</v>
      </c>
      <c r="J9" s="125"/>
    </row>
    <row r="10" spans="1:10" x14ac:dyDescent="0.2">
      <c r="A10" s="125"/>
      <c r="B10" s="165"/>
      <c r="C10" s="125"/>
      <c r="D10" s="176"/>
      <c r="E10" s="177"/>
      <c r="F10" s="178"/>
      <c r="G10" s="178"/>
      <c r="H10" s="179"/>
      <c r="I10" s="180"/>
      <c r="J10" s="125"/>
    </row>
    <row r="11" spans="1:10" x14ac:dyDescent="0.2">
      <c r="A11" s="125"/>
      <c r="B11" s="181" t="s">
        <v>537</v>
      </c>
      <c r="C11" s="138"/>
      <c r="D11" s="182"/>
      <c r="E11" s="183"/>
      <c r="F11" s="184"/>
      <c r="G11" s="184"/>
      <c r="H11" s="179"/>
      <c r="I11" s="180"/>
      <c r="J11" s="125"/>
    </row>
    <row r="12" spans="1:10" x14ac:dyDescent="0.2">
      <c r="A12" s="125"/>
      <c r="B12" s="165"/>
      <c r="C12" s="138"/>
      <c r="D12" s="182"/>
      <c r="E12" s="183"/>
      <c r="F12" s="184"/>
      <c r="G12" s="184"/>
      <c r="H12" s="179"/>
      <c r="I12" s="180"/>
      <c r="J12" s="125"/>
    </row>
    <row r="13" spans="1:10" x14ac:dyDescent="0.2">
      <c r="A13" s="125"/>
      <c r="B13" s="165" t="s">
        <v>538</v>
      </c>
      <c r="C13" s="138"/>
      <c r="D13" s="176">
        <v>100000</v>
      </c>
      <c r="E13" s="177">
        <v>4160</v>
      </c>
      <c r="F13" s="178">
        <f t="shared" ref="F13:F15" si="0">+D13*E13</f>
        <v>416000000</v>
      </c>
      <c r="G13" s="178">
        <f>+($G$6-E13)*D13</f>
        <v>24914999.999999963</v>
      </c>
      <c r="H13" s="179">
        <f>+F13+G13</f>
        <v>440914999.99999994</v>
      </c>
      <c r="I13" s="180"/>
      <c r="J13" s="125"/>
    </row>
    <row r="14" spans="1:10" x14ac:dyDescent="0.2">
      <c r="A14" s="125"/>
      <c r="B14" s="165"/>
      <c r="C14" s="138"/>
      <c r="D14" s="176"/>
      <c r="E14" s="177">
        <v>4151.55</v>
      </c>
      <c r="F14" s="178"/>
      <c r="G14" s="178"/>
      <c r="H14" s="179"/>
      <c r="I14" s="180">
        <f>+D13*E14</f>
        <v>415155000</v>
      </c>
      <c r="J14" s="125"/>
    </row>
    <row r="15" spans="1:10" x14ac:dyDescent="0.2">
      <c r="A15" s="125"/>
      <c r="B15" s="165" t="s">
        <v>539</v>
      </c>
      <c r="C15" s="138"/>
      <c r="D15" s="176">
        <v>3000</v>
      </c>
      <c r="E15" s="177">
        <v>4341.32</v>
      </c>
      <c r="F15" s="178">
        <f t="shared" si="0"/>
        <v>13023960</v>
      </c>
      <c r="G15" s="178">
        <f>+($G$6-E15)*D15</f>
        <v>203489.99999999977</v>
      </c>
      <c r="H15" s="179">
        <f>+F15+G15</f>
        <v>13227450</v>
      </c>
      <c r="I15" s="180">
        <f>+F15</f>
        <v>13023960</v>
      </c>
      <c r="J15" s="125"/>
    </row>
    <row r="16" spans="1:10" x14ac:dyDescent="0.2">
      <c r="A16" s="125"/>
      <c r="B16" s="165"/>
      <c r="C16" s="138"/>
      <c r="D16" s="176"/>
      <c r="E16" s="177"/>
      <c r="F16" s="176"/>
      <c r="G16" s="182"/>
      <c r="H16" s="179"/>
      <c r="I16" s="180"/>
      <c r="J16" s="125"/>
    </row>
    <row r="17" spans="1:10" ht="13.5" thickBot="1" x14ac:dyDescent="0.25">
      <c r="A17" s="125"/>
      <c r="B17" s="185" t="s">
        <v>540</v>
      </c>
      <c r="C17" s="138"/>
      <c r="D17" s="176"/>
      <c r="E17" s="177"/>
      <c r="F17" s="176"/>
      <c r="G17" s="186">
        <f>SUM(G13:G16)</f>
        <v>25118489.999999963</v>
      </c>
      <c r="H17" s="179"/>
      <c r="I17" s="180"/>
      <c r="J17" s="125"/>
    </row>
    <row r="18" spans="1:10" ht="14.25" thickTop="1" thickBot="1" x14ac:dyDescent="0.25">
      <c r="A18" s="125"/>
      <c r="B18" s="185" t="s">
        <v>325</v>
      </c>
      <c r="C18" s="125"/>
      <c r="D18" s="187">
        <f>SUM(D13:D17)</f>
        <v>103000</v>
      </c>
      <c r="E18" s="177"/>
      <c r="F18" s="176">
        <f t="shared" ref="F18" si="1">+D18*E18</f>
        <v>0</v>
      </c>
      <c r="G18" s="182"/>
      <c r="H18" s="188">
        <f>SUM(H13:H17)</f>
        <v>454142449.99999994</v>
      </c>
      <c r="I18" s="189">
        <f>SUM(I13:I17)</f>
        <v>428178960</v>
      </c>
      <c r="J18" s="125"/>
    </row>
    <row r="19" spans="1:10" ht="13.5" thickTop="1" x14ac:dyDescent="0.2">
      <c r="A19" s="125"/>
      <c r="B19" s="170"/>
      <c r="C19" s="190"/>
      <c r="D19" s="191"/>
      <c r="E19" s="192"/>
      <c r="F19" s="191"/>
      <c r="G19" s="191"/>
      <c r="H19" s="193"/>
      <c r="I19" s="194"/>
      <c r="J19" s="125"/>
    </row>
    <row r="20" spans="1:10" x14ac:dyDescent="0.2">
      <c r="A20" s="125"/>
      <c r="B20" s="125"/>
      <c r="C20" s="125"/>
      <c r="D20" s="128"/>
      <c r="E20" s="128"/>
      <c r="F20" s="125"/>
      <c r="G20" s="125"/>
      <c r="H20" s="125"/>
      <c r="I20" s="195"/>
      <c r="J20" s="125"/>
    </row>
    <row r="21" spans="1:10" x14ac:dyDescent="0.2">
      <c r="A21" s="125"/>
      <c r="B21" s="125"/>
      <c r="C21" s="125"/>
      <c r="D21" s="128"/>
      <c r="E21" s="196"/>
      <c r="F21" s="125"/>
      <c r="G21" s="125"/>
      <c r="H21" s="125"/>
      <c r="I21" s="195"/>
      <c r="J21" s="125"/>
    </row>
    <row r="22" spans="1:10" x14ac:dyDescent="0.2">
      <c r="A22" s="125"/>
      <c r="B22" s="125"/>
      <c r="C22" s="125"/>
      <c r="D22" s="128"/>
      <c r="E22" s="128"/>
      <c r="F22" s="125"/>
      <c r="G22" s="125"/>
      <c r="H22" s="125"/>
      <c r="I22" s="125"/>
      <c r="J22" s="125"/>
    </row>
    <row r="23" spans="1:10" x14ac:dyDescent="0.2">
      <c r="A23" s="125"/>
      <c r="B23" s="126" t="str">
        <f>+B1</f>
        <v>EL EXPERTO S.A.S.</v>
      </c>
      <c r="C23" s="125"/>
      <c r="D23" s="128"/>
      <c r="E23" s="128"/>
      <c r="F23" s="125"/>
      <c r="G23" s="125"/>
      <c r="H23" s="125"/>
      <c r="I23" s="125"/>
      <c r="J23" s="125"/>
    </row>
    <row r="24" spans="1:10" x14ac:dyDescent="0.2">
      <c r="A24" s="125"/>
      <c r="B24" s="126" t="str">
        <f>+B2</f>
        <v>NIT 890.378.233 - 1</v>
      </c>
      <c r="C24" s="125"/>
      <c r="D24" s="128"/>
      <c r="E24" s="128"/>
      <c r="F24" s="125"/>
      <c r="G24" s="125"/>
      <c r="H24" s="125"/>
      <c r="I24" s="125"/>
      <c r="J24" s="125"/>
    </row>
    <row r="25" spans="1:10" x14ac:dyDescent="0.2">
      <c r="A25" s="125"/>
      <c r="B25" s="126" t="str">
        <f>+B3</f>
        <v>DECLARACION DE RENTA AÑO GRAVABLE 2024</v>
      </c>
      <c r="C25" s="125"/>
      <c r="D25" s="128"/>
      <c r="E25" s="128"/>
      <c r="F25" s="125"/>
      <c r="G25" s="125"/>
      <c r="H25" s="36" t="s">
        <v>44</v>
      </c>
      <c r="I25" s="125"/>
      <c r="J25" s="125"/>
    </row>
    <row r="26" spans="1:10" x14ac:dyDescent="0.2">
      <c r="A26" s="125"/>
      <c r="B26" s="126" t="s">
        <v>304</v>
      </c>
      <c r="C26" s="125"/>
      <c r="D26" s="128"/>
      <c r="E26" s="128"/>
      <c r="F26" s="125"/>
      <c r="G26" s="125"/>
      <c r="H26" s="125"/>
      <c r="I26" s="125"/>
      <c r="J26" s="125"/>
    </row>
    <row r="27" spans="1:10" x14ac:dyDescent="0.2">
      <c r="A27" s="125"/>
      <c r="B27" s="130"/>
      <c r="C27" s="125"/>
      <c r="D27" s="128"/>
      <c r="E27" s="128"/>
      <c r="F27" s="125"/>
      <c r="G27" s="156" t="s">
        <v>328</v>
      </c>
      <c r="H27" s="197">
        <f>+'4. CDT - CxC'!G6</f>
        <v>4409.1499999999996</v>
      </c>
      <c r="I27" s="125"/>
      <c r="J27" s="125"/>
    </row>
    <row r="28" spans="1:10" x14ac:dyDescent="0.2">
      <c r="A28" s="125"/>
      <c r="B28" s="198"/>
      <c r="C28" s="161"/>
      <c r="D28" s="160"/>
      <c r="E28" s="160" t="s">
        <v>310</v>
      </c>
      <c r="F28" s="161" t="s">
        <v>64</v>
      </c>
      <c r="G28" s="162" t="s">
        <v>308</v>
      </c>
      <c r="H28" s="163" t="s">
        <v>64</v>
      </c>
      <c r="I28" s="164" t="s">
        <v>64</v>
      </c>
      <c r="J28" s="125"/>
    </row>
    <row r="29" spans="1:10" x14ac:dyDescent="0.2">
      <c r="A29" s="125"/>
      <c r="B29" s="167" t="s">
        <v>305</v>
      </c>
      <c r="C29" s="167" t="s">
        <v>87</v>
      </c>
      <c r="D29" s="167" t="s">
        <v>64</v>
      </c>
      <c r="E29" s="167" t="s">
        <v>311</v>
      </c>
      <c r="F29" s="167" t="s">
        <v>77</v>
      </c>
      <c r="G29" s="167" t="s">
        <v>309</v>
      </c>
      <c r="H29" s="168" t="s">
        <v>4</v>
      </c>
      <c r="I29" s="169" t="s">
        <v>6</v>
      </c>
      <c r="J29" s="125"/>
    </row>
    <row r="30" spans="1:10" x14ac:dyDescent="0.2">
      <c r="A30" s="125"/>
      <c r="B30" s="172" t="s">
        <v>306</v>
      </c>
      <c r="C30" s="172" t="s">
        <v>306</v>
      </c>
      <c r="D30" s="172" t="s">
        <v>307</v>
      </c>
      <c r="E30" s="172" t="s">
        <v>77</v>
      </c>
      <c r="F30" s="172" t="s">
        <v>312</v>
      </c>
      <c r="G30" s="173" t="s">
        <v>4</v>
      </c>
      <c r="H30" s="174" t="str">
        <f>+'6. INVERSIONES'!G8</f>
        <v xml:space="preserve"> 31-12-24</v>
      </c>
      <c r="I30" s="175" t="str">
        <f>+H30</f>
        <v xml:space="preserve"> 31-12-24</v>
      </c>
      <c r="J30" s="125"/>
    </row>
    <row r="31" spans="1:10" x14ac:dyDescent="0.2">
      <c r="A31" s="125"/>
      <c r="B31" s="167"/>
      <c r="C31" s="167"/>
      <c r="D31" s="167"/>
      <c r="E31" s="167"/>
      <c r="F31" s="167"/>
      <c r="G31" s="183"/>
      <c r="H31" s="199"/>
      <c r="I31" s="200"/>
      <c r="J31" s="125"/>
    </row>
    <row r="32" spans="1:10" x14ac:dyDescent="0.2">
      <c r="A32" s="125"/>
      <c r="B32" s="201">
        <v>8711</v>
      </c>
      <c r="C32" s="202">
        <v>45518</v>
      </c>
      <c r="D32" s="176">
        <v>31400</v>
      </c>
      <c r="E32" s="177">
        <v>4038.87</v>
      </c>
      <c r="F32" s="176">
        <f t="shared" ref="F32:F38" si="2">+D32*E32</f>
        <v>126820518</v>
      </c>
      <c r="G32" s="176">
        <f t="shared" ref="G32:G38" si="3">+($H$27-E32)*D32</f>
        <v>11626791.999999993</v>
      </c>
      <c r="H32" s="179">
        <f t="shared" ref="H32:H38" si="4">+F32+G32</f>
        <v>138447310</v>
      </c>
      <c r="I32" s="180">
        <f t="shared" ref="I32:I38" si="5">+F32</f>
        <v>126820518</v>
      </c>
      <c r="J32" s="125"/>
    </row>
    <row r="33" spans="1:10" x14ac:dyDescent="0.2">
      <c r="A33" s="125"/>
      <c r="B33" s="201">
        <v>8763</v>
      </c>
      <c r="C33" s="202">
        <v>45555</v>
      </c>
      <c r="D33" s="176">
        <v>41500</v>
      </c>
      <c r="E33" s="177">
        <v>4175.1000000000004</v>
      </c>
      <c r="F33" s="176">
        <f t="shared" si="2"/>
        <v>173266650.00000003</v>
      </c>
      <c r="G33" s="176">
        <f t="shared" si="3"/>
        <v>9713074.9999999702</v>
      </c>
      <c r="H33" s="179">
        <f t="shared" si="4"/>
        <v>182979725</v>
      </c>
      <c r="I33" s="180">
        <f t="shared" si="5"/>
        <v>173266650.00000003</v>
      </c>
      <c r="J33" s="125"/>
    </row>
    <row r="34" spans="1:10" x14ac:dyDescent="0.2">
      <c r="A34" s="125"/>
      <c r="B34" s="201">
        <v>8827</v>
      </c>
      <c r="C34" s="202">
        <v>45568</v>
      </c>
      <c r="D34" s="176">
        <v>23300</v>
      </c>
      <c r="E34" s="177">
        <v>4203.43</v>
      </c>
      <c r="F34" s="176">
        <f t="shared" si="2"/>
        <v>97939919</v>
      </c>
      <c r="G34" s="176">
        <f t="shared" si="3"/>
        <v>4793275.9999999851</v>
      </c>
      <c r="H34" s="179">
        <f t="shared" si="4"/>
        <v>102733194.99999999</v>
      </c>
      <c r="I34" s="180">
        <f t="shared" si="5"/>
        <v>97939919</v>
      </c>
      <c r="J34" s="125"/>
    </row>
    <row r="35" spans="1:10" x14ac:dyDescent="0.2">
      <c r="A35" s="125"/>
      <c r="B35" s="201">
        <v>8892</v>
      </c>
      <c r="C35" s="202">
        <v>45603</v>
      </c>
      <c r="D35" s="176">
        <v>11000</v>
      </c>
      <c r="E35" s="177">
        <v>4430.3999999999996</v>
      </c>
      <c r="F35" s="176">
        <f t="shared" si="2"/>
        <v>48734399.999999993</v>
      </c>
      <c r="G35" s="176">
        <f t="shared" si="3"/>
        <v>-233750</v>
      </c>
      <c r="H35" s="179">
        <f t="shared" si="4"/>
        <v>48500649.999999993</v>
      </c>
      <c r="I35" s="180">
        <f t="shared" si="5"/>
        <v>48734399.999999993</v>
      </c>
      <c r="J35" s="125"/>
    </row>
    <row r="36" spans="1:10" x14ac:dyDescent="0.2">
      <c r="A36" s="125"/>
      <c r="B36" s="201">
        <v>8975</v>
      </c>
      <c r="C36" s="202">
        <v>45613</v>
      </c>
      <c r="D36" s="176">
        <v>17800</v>
      </c>
      <c r="E36" s="177">
        <v>4454.68</v>
      </c>
      <c r="F36" s="176">
        <f t="shared" si="2"/>
        <v>79293304</v>
      </c>
      <c r="G36" s="176">
        <f t="shared" si="3"/>
        <v>-810434.00000001164</v>
      </c>
      <c r="H36" s="179">
        <f t="shared" si="4"/>
        <v>78482869.999999985</v>
      </c>
      <c r="I36" s="180">
        <f t="shared" si="5"/>
        <v>79293304</v>
      </c>
      <c r="J36" s="125"/>
    </row>
    <row r="37" spans="1:10" x14ac:dyDescent="0.2">
      <c r="A37" s="125"/>
      <c r="B37" s="201">
        <v>9002</v>
      </c>
      <c r="C37" s="202">
        <v>45638</v>
      </c>
      <c r="D37" s="176">
        <v>20000</v>
      </c>
      <c r="E37" s="177">
        <v>4361.22</v>
      </c>
      <c r="F37" s="176">
        <f t="shared" si="2"/>
        <v>87224400</v>
      </c>
      <c r="G37" s="176">
        <f t="shared" si="3"/>
        <v>958599.99999998766</v>
      </c>
      <c r="H37" s="179">
        <f t="shared" si="4"/>
        <v>88182999.999999985</v>
      </c>
      <c r="I37" s="180">
        <f t="shared" si="5"/>
        <v>87224400</v>
      </c>
      <c r="J37" s="125"/>
    </row>
    <row r="38" spans="1:10" x14ac:dyDescent="0.2">
      <c r="A38" s="125"/>
      <c r="B38" s="201">
        <v>9010</v>
      </c>
      <c r="C38" s="202">
        <v>45646</v>
      </c>
      <c r="D38" s="176">
        <v>35300</v>
      </c>
      <c r="E38" s="177">
        <v>4394.5</v>
      </c>
      <c r="F38" s="176">
        <f t="shared" si="2"/>
        <v>155125850</v>
      </c>
      <c r="G38" s="176">
        <f t="shared" si="3"/>
        <v>517144.99999998714</v>
      </c>
      <c r="H38" s="179">
        <f t="shared" si="4"/>
        <v>155642995</v>
      </c>
      <c r="I38" s="180">
        <f t="shared" si="5"/>
        <v>155125850</v>
      </c>
      <c r="J38" s="125"/>
    </row>
    <row r="39" spans="1:10" x14ac:dyDescent="0.2">
      <c r="A39" s="125"/>
      <c r="B39" s="201"/>
      <c r="C39" s="202"/>
      <c r="D39" s="176"/>
      <c r="E39" s="177"/>
      <c r="F39" s="176"/>
      <c r="G39" s="176"/>
      <c r="H39" s="179"/>
      <c r="I39" s="180"/>
      <c r="J39" s="125"/>
    </row>
    <row r="40" spans="1:10" x14ac:dyDescent="0.2">
      <c r="A40" s="125"/>
      <c r="B40" s="203"/>
      <c r="C40" s="204"/>
      <c r="D40" s="205"/>
      <c r="E40" s="206"/>
      <c r="F40" s="205"/>
      <c r="G40" s="205"/>
      <c r="H40" s="207"/>
      <c r="I40" s="208"/>
      <c r="J40" s="125"/>
    </row>
    <row r="41" spans="1:10" ht="13.5" thickBot="1" x14ac:dyDescent="0.25">
      <c r="A41" s="125"/>
      <c r="B41" s="185" t="s">
        <v>501</v>
      </c>
      <c r="C41" s="209"/>
      <c r="D41" s="210">
        <f>SUM(D31:D39)</f>
        <v>180300</v>
      </c>
      <c r="E41" s="211"/>
      <c r="F41" s="210">
        <f>SUM(F31:F39)</f>
        <v>768405041</v>
      </c>
      <c r="G41" s="210">
        <f>SUM(G31:G39)</f>
        <v>26564703.999999914</v>
      </c>
      <c r="H41" s="212">
        <f>SUM(H31:H39)</f>
        <v>794969745</v>
      </c>
      <c r="I41" s="213">
        <f>SUM(I31:I39)</f>
        <v>768405041</v>
      </c>
      <c r="J41" s="125"/>
    </row>
    <row r="42" spans="1:10" ht="13.5" thickTop="1" x14ac:dyDescent="0.2">
      <c r="A42" s="125"/>
      <c r="B42" s="214"/>
      <c r="C42" s="190"/>
      <c r="D42" s="191"/>
      <c r="E42" s="215"/>
      <c r="F42" s="216"/>
      <c r="G42" s="216"/>
      <c r="H42" s="217"/>
      <c r="I42" s="218"/>
      <c r="J42" s="125"/>
    </row>
    <row r="43" spans="1:10" x14ac:dyDescent="0.2">
      <c r="A43" s="125"/>
      <c r="B43" s="125"/>
      <c r="C43" s="125"/>
      <c r="D43" s="128"/>
      <c r="E43" s="128"/>
      <c r="F43" s="125"/>
      <c r="G43" s="125"/>
      <c r="H43" s="125"/>
      <c r="I43" s="125"/>
      <c r="J43" s="125"/>
    </row>
    <row r="164" s="20" customFormat="1" ht="12.75" customHeight="1" x14ac:dyDescent="0.2"/>
    <row r="165" s="20" customFormat="1" ht="12.75" customHeight="1" x14ac:dyDescent="0.2"/>
    <row r="166" s="20" customFormat="1" ht="12.75" customHeight="1" x14ac:dyDescent="0.2"/>
  </sheetData>
  <sheetProtection algorithmName="SHA-512" hashValue="mt4RJE4D7Z00iikAkrP5lW2xgbv0ypFI0JGK4/0tSiybSB9p1rVEKSrKMUPOPUfrI2ooRKtWD1SlQlECLCUpJw==" saltValue="iykZ+1A98AYy9KmNEtF5sQ==" spinCount="100000" sheet="1" objects="1" scenarios="1"/>
  <printOptions horizontalCentered="1" verticalCentered="1"/>
  <pageMargins left="0.59055118110236227" right="0.59055118110236227" top="0.39370078740157483" bottom="0.39370078740157483" header="0" footer="0"/>
  <pageSetup scale="96" orientation="portrait" horizontalDpi="360" verticalDpi="360" r:id="rId1"/>
  <headerFooter alignWithMargins="0">
    <oddHeader xml:space="preserve">&amp;C </oddHeader>
    <oddFooter xml:space="preserve">&amp;C </oddFooter>
  </headerFooter>
  <ignoredErrors>
    <ignoredError sqref="B1:B3 D19:I19 H9:I10 D11:I11 F18 C16:I17 C18 G18:I18 D18:E18 C13:D13 F13:I13 C14:D14 F14:I14 C15:D15 F15:I15 B23:I4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7"/>
  <sheetViews>
    <sheetView zoomScaleNormal="100" workbookViewId="0">
      <selection activeCell="K3" sqref="K3"/>
    </sheetView>
  </sheetViews>
  <sheetFormatPr baseColWidth="10" defaultColWidth="11.42578125" defaultRowHeight="12" x14ac:dyDescent="0.2"/>
  <cols>
    <col min="1" max="1" width="1.7109375" style="5" customWidth="1"/>
    <col min="2" max="2" width="12.7109375" style="5" customWidth="1"/>
    <col min="3" max="3" width="15.7109375" style="5" customWidth="1"/>
    <col min="4" max="4" width="7.42578125" style="5" bestFit="1" customWidth="1"/>
    <col min="5" max="5" width="11.5703125" style="5" customWidth="1"/>
    <col min="6" max="6" width="12.28515625" style="5" customWidth="1"/>
    <col min="7" max="7" width="13.42578125" style="5" bestFit="1" customWidth="1"/>
    <col min="8" max="8" width="1.7109375" style="5" customWidth="1"/>
    <col min="9" max="9" width="12.7109375" style="5" customWidth="1"/>
    <col min="10" max="10" width="10.7109375" style="5" bestFit="1" customWidth="1"/>
    <col min="11" max="11" width="12.7109375" style="5" bestFit="1" customWidth="1"/>
    <col min="12" max="12" width="12.7109375" style="5" customWidth="1"/>
    <col min="13" max="13" width="4" style="5" bestFit="1" customWidth="1"/>
    <col min="14" max="16384" width="11.42578125" style="5"/>
  </cols>
  <sheetData>
    <row r="1" spans="1:14" x14ac:dyDescent="0.2">
      <c r="A1" s="574"/>
      <c r="B1" s="575" t="str">
        <f>+'2. RENTA FISCAL'!A1</f>
        <v>EL EXPERTO S.A.S.</v>
      </c>
      <c r="C1" s="574"/>
      <c r="D1" s="574"/>
      <c r="E1" s="574"/>
      <c r="F1" s="574"/>
      <c r="G1" s="574"/>
      <c r="H1" s="574"/>
      <c r="I1" s="574"/>
      <c r="J1" s="574"/>
      <c r="K1" s="574"/>
      <c r="L1" s="576"/>
      <c r="M1" s="574"/>
    </row>
    <row r="2" spans="1:14" x14ac:dyDescent="0.2">
      <c r="A2" s="574"/>
      <c r="B2" s="575" t="str">
        <f>+'2. RENTA FISCAL'!A2</f>
        <v>NIT 890.378.233 - 1</v>
      </c>
      <c r="C2" s="574"/>
      <c r="D2" s="574"/>
      <c r="E2" s="574"/>
      <c r="F2" s="574"/>
      <c r="G2" s="574"/>
      <c r="H2" s="574"/>
      <c r="I2" s="574"/>
      <c r="J2" s="574"/>
      <c r="K2" s="574"/>
      <c r="L2" s="576"/>
      <c r="M2" s="574"/>
    </row>
    <row r="3" spans="1:14" x14ac:dyDescent="0.2">
      <c r="A3" s="574"/>
      <c r="B3" s="575" t="str">
        <f>+'2. RENTA FISCAL'!A3</f>
        <v>DECLARACION DE RENTA AÑO GRAVABLE 2024</v>
      </c>
      <c r="C3" s="574"/>
      <c r="D3" s="574"/>
      <c r="E3" s="574"/>
      <c r="F3" s="574"/>
      <c r="G3" s="574"/>
      <c r="H3" s="574"/>
      <c r="I3" s="574"/>
      <c r="J3" s="574"/>
      <c r="K3" s="577" t="s">
        <v>59</v>
      </c>
      <c r="L3" s="576"/>
      <c r="M3" s="574"/>
    </row>
    <row r="4" spans="1:14" x14ac:dyDescent="0.2">
      <c r="A4" s="574"/>
      <c r="B4" s="578" t="s">
        <v>354</v>
      </c>
      <c r="C4" s="574"/>
      <c r="D4" s="574"/>
      <c r="E4" s="574"/>
      <c r="F4" s="574"/>
      <c r="G4" s="574"/>
      <c r="H4" s="574"/>
      <c r="I4" s="574"/>
      <c r="J4" s="574"/>
      <c r="K4" s="574"/>
      <c r="L4" s="576"/>
      <c r="M4" s="574"/>
    </row>
    <row r="5" spans="1:14" x14ac:dyDescent="0.2">
      <c r="A5" s="574"/>
      <c r="B5" s="578"/>
      <c r="C5" s="574"/>
      <c r="D5" s="574"/>
      <c r="E5" s="574"/>
      <c r="F5" s="574"/>
      <c r="G5" s="574"/>
      <c r="H5" s="574"/>
      <c r="I5" s="574"/>
      <c r="J5" s="574"/>
      <c r="K5" s="574"/>
      <c r="L5" s="576"/>
      <c r="M5" s="574"/>
    </row>
    <row r="6" spans="1:14" x14ac:dyDescent="0.2">
      <c r="A6" s="574"/>
      <c r="B6" s="579"/>
      <c r="C6" s="580"/>
      <c r="D6" s="581"/>
      <c r="E6" s="582" t="s">
        <v>302</v>
      </c>
      <c r="F6" s="583"/>
      <c r="G6" s="584"/>
      <c r="H6" s="574"/>
      <c r="I6" s="585" t="s">
        <v>182</v>
      </c>
      <c r="J6" s="586"/>
      <c r="K6" s="586"/>
      <c r="L6" s="587"/>
      <c r="M6" s="574"/>
    </row>
    <row r="7" spans="1:14" x14ac:dyDescent="0.2">
      <c r="A7" s="574"/>
      <c r="B7" s="588" t="s">
        <v>61</v>
      </c>
      <c r="C7" s="589"/>
      <c r="D7" s="590" t="s">
        <v>353</v>
      </c>
      <c r="E7" s="591" t="s">
        <v>47</v>
      </c>
      <c r="F7" s="591" t="s">
        <v>60</v>
      </c>
      <c r="G7" s="592" t="s">
        <v>47</v>
      </c>
      <c r="H7" s="593"/>
      <c r="I7" s="594" t="s">
        <v>96</v>
      </c>
      <c r="J7" s="595" t="s">
        <v>174</v>
      </c>
      <c r="K7" s="596" t="s">
        <v>60</v>
      </c>
      <c r="L7" s="597" t="s">
        <v>96</v>
      </c>
      <c r="M7" s="574"/>
    </row>
    <row r="8" spans="1:14" x14ac:dyDescent="0.2">
      <c r="A8" s="574"/>
      <c r="B8" s="598"/>
      <c r="C8" s="599"/>
      <c r="D8" s="600"/>
      <c r="E8" s="601" t="s">
        <v>535</v>
      </c>
      <c r="F8" s="602" t="s">
        <v>62</v>
      </c>
      <c r="G8" s="601" t="str">
        <f>+'1. PATRIM FISCAL'!B8</f>
        <v xml:space="preserve"> 31-12-24</v>
      </c>
      <c r="H8" s="593"/>
      <c r="I8" s="603" t="str">
        <f>+E8</f>
        <v xml:space="preserve"> 31-12-23</v>
      </c>
      <c r="J8" s="227">
        <f>+ANEXOS!C39</f>
        <v>0.10970000000000001</v>
      </c>
      <c r="K8" s="604" t="s">
        <v>62</v>
      </c>
      <c r="L8" s="603" t="str">
        <f>+G8</f>
        <v xml:space="preserve"> 31-12-24</v>
      </c>
      <c r="M8" s="574"/>
    </row>
    <row r="9" spans="1:14" x14ac:dyDescent="0.2">
      <c r="A9" s="574"/>
      <c r="B9" s="605"/>
      <c r="C9" s="574"/>
      <c r="D9" s="606"/>
      <c r="E9" s="607"/>
      <c r="F9" s="607"/>
      <c r="G9" s="608"/>
      <c r="H9" s="574"/>
      <c r="I9" s="609"/>
      <c r="J9" s="610"/>
      <c r="K9" s="607"/>
      <c r="L9" s="608"/>
      <c r="M9" s="574"/>
    </row>
    <row r="10" spans="1:14" x14ac:dyDescent="0.2">
      <c r="A10" s="574"/>
      <c r="B10" s="611" t="s">
        <v>555</v>
      </c>
      <c r="C10" s="574"/>
      <c r="D10" s="612"/>
      <c r="E10" s="607"/>
      <c r="F10" s="607"/>
      <c r="G10" s="608"/>
      <c r="H10" s="574"/>
      <c r="I10" s="609"/>
      <c r="J10" s="610"/>
      <c r="K10" s="607"/>
      <c r="L10" s="608"/>
      <c r="M10" s="574"/>
    </row>
    <row r="11" spans="1:14" x14ac:dyDescent="0.2">
      <c r="A11" s="574"/>
      <c r="B11" s="605" t="s">
        <v>607</v>
      </c>
      <c r="C11" s="574"/>
      <c r="D11" s="612">
        <v>3000</v>
      </c>
      <c r="E11" s="607">
        <f>D11*25000</f>
        <v>75000000</v>
      </c>
      <c r="F11" s="607">
        <f>-E11</f>
        <v>-75000000</v>
      </c>
      <c r="G11" s="608">
        <f>F11+E11</f>
        <v>0</v>
      </c>
      <c r="H11" s="574"/>
      <c r="I11" s="607">
        <f>E11</f>
        <v>75000000</v>
      </c>
      <c r="J11" s="610"/>
      <c r="K11" s="607">
        <f>-I11</f>
        <v>-75000000</v>
      </c>
      <c r="L11" s="607">
        <f>+K11+J11+I11</f>
        <v>0</v>
      </c>
      <c r="M11" s="574"/>
    </row>
    <row r="12" spans="1:14" x14ac:dyDescent="0.2">
      <c r="A12" s="574"/>
      <c r="B12" s="605" t="s">
        <v>63</v>
      </c>
      <c r="C12" s="574"/>
      <c r="D12" s="612">
        <v>6000</v>
      </c>
      <c r="E12" s="607">
        <f>D12*25000</f>
        <v>150000000</v>
      </c>
      <c r="F12" s="607"/>
      <c r="G12" s="608">
        <f>F12+E12</f>
        <v>150000000</v>
      </c>
      <c r="H12" s="574"/>
      <c r="I12" s="607">
        <f>E12</f>
        <v>150000000</v>
      </c>
      <c r="J12" s="610"/>
      <c r="K12" s="607"/>
      <c r="L12" s="607">
        <f>+K12+J12+I12</f>
        <v>150000000</v>
      </c>
      <c r="M12" s="574"/>
    </row>
    <row r="13" spans="1:14" x14ac:dyDescent="0.2">
      <c r="A13" s="574"/>
      <c r="B13" s="605" t="s">
        <v>100</v>
      </c>
      <c r="C13" s="574"/>
      <c r="D13" s="612">
        <v>750</v>
      </c>
      <c r="E13" s="607"/>
      <c r="F13" s="613">
        <f>+'10. INGRESOS'!D10</f>
        <v>23850000</v>
      </c>
      <c r="G13" s="608">
        <f>F13+E13</f>
        <v>23850000</v>
      </c>
      <c r="H13" s="574"/>
      <c r="I13" s="607"/>
      <c r="J13" s="610"/>
      <c r="K13" s="607">
        <f>+'10. INGRESOS'!D10</f>
        <v>23850000</v>
      </c>
      <c r="L13" s="607">
        <f>+K13+J13+I13</f>
        <v>23850000</v>
      </c>
      <c r="M13" s="574"/>
    </row>
    <row r="14" spans="1:14" x14ac:dyDescent="0.2">
      <c r="A14" s="574"/>
      <c r="B14" s="605" t="s">
        <v>613</v>
      </c>
      <c r="C14" s="574"/>
      <c r="D14" s="612">
        <f>-D11</f>
        <v>-3000</v>
      </c>
      <c r="E14" s="607">
        <f>+(29800-25000)*D11</f>
        <v>14400000</v>
      </c>
      <c r="F14" s="607">
        <f>-E14</f>
        <v>-14400000</v>
      </c>
      <c r="G14" s="608">
        <f>F14+E14</f>
        <v>0</v>
      </c>
      <c r="H14" s="574"/>
      <c r="I14" s="607"/>
      <c r="J14" s="610"/>
      <c r="K14" s="607"/>
      <c r="L14" s="607">
        <f>+K14+J14+I14</f>
        <v>0</v>
      </c>
      <c r="M14" s="574"/>
    </row>
    <row r="15" spans="1:14" x14ac:dyDescent="0.2">
      <c r="A15" s="574"/>
      <c r="B15" s="605" t="s">
        <v>614</v>
      </c>
      <c r="C15" s="574"/>
      <c r="D15" s="612">
        <f>+D12+D13</f>
        <v>6750</v>
      </c>
      <c r="E15" s="614">
        <f>+(29800-25000)*D12</f>
        <v>28800000</v>
      </c>
      <c r="F15" s="615">
        <f>(35100-29800)*6000+(35100-31800)*750</f>
        <v>34275000</v>
      </c>
      <c r="G15" s="608">
        <f>F15+E15</f>
        <v>63075000</v>
      </c>
      <c r="H15" s="574"/>
      <c r="I15" s="609"/>
      <c r="J15" s="616"/>
      <c r="K15" s="614"/>
      <c r="L15" s="607">
        <f>+K15+J15+I15</f>
        <v>0</v>
      </c>
      <c r="M15" s="574"/>
    </row>
    <row r="16" spans="1:14" x14ac:dyDescent="0.2">
      <c r="A16" s="574"/>
      <c r="B16" s="611"/>
      <c r="C16" s="574"/>
      <c r="D16" s="617">
        <f>+D15</f>
        <v>6750</v>
      </c>
      <c r="E16" s="618">
        <f>SUM(E10:E15)</f>
        <v>268200000</v>
      </c>
      <c r="F16" s="618">
        <f>SUM(F10:F15)</f>
        <v>-31275000</v>
      </c>
      <c r="G16" s="618">
        <f>SUM(G10:G15)</f>
        <v>236925000</v>
      </c>
      <c r="H16" s="574"/>
      <c r="I16" s="618">
        <f>SUM(I10:I15)</f>
        <v>225000000</v>
      </c>
      <c r="J16" s="618">
        <f>SUM(J10:J15)</f>
        <v>0</v>
      </c>
      <c r="K16" s="618">
        <f>SUM(K10:K15)</f>
        <v>-51150000</v>
      </c>
      <c r="L16" s="618">
        <f>SUM(L10:L15)</f>
        <v>173850000</v>
      </c>
      <c r="M16" s="574"/>
      <c r="N16" s="10"/>
    </row>
    <row r="17" spans="1:14" x14ac:dyDescent="0.2">
      <c r="A17" s="574"/>
      <c r="B17" s="611"/>
      <c r="C17" s="574"/>
      <c r="D17" s="612"/>
      <c r="E17" s="607"/>
      <c r="F17" s="607"/>
      <c r="G17" s="608"/>
      <c r="H17" s="574"/>
      <c r="I17" s="607"/>
      <c r="J17" s="610"/>
      <c r="K17" s="607"/>
      <c r="L17" s="608"/>
      <c r="M17" s="574"/>
    </row>
    <row r="18" spans="1:14" x14ac:dyDescent="0.2">
      <c r="A18" s="574"/>
      <c r="B18" s="611" t="s">
        <v>630</v>
      </c>
      <c r="C18" s="574"/>
      <c r="D18" s="612"/>
      <c r="E18" s="607"/>
      <c r="F18" s="607"/>
      <c r="G18" s="608"/>
      <c r="H18" s="574"/>
      <c r="I18" s="619"/>
      <c r="J18" s="610"/>
      <c r="K18" s="607"/>
      <c r="L18" s="608"/>
      <c r="M18" s="574"/>
    </row>
    <row r="19" spans="1:14" x14ac:dyDescent="0.2">
      <c r="A19" s="574"/>
      <c r="B19" s="605" t="s">
        <v>63</v>
      </c>
      <c r="C19" s="574"/>
      <c r="D19" s="612">
        <v>405000</v>
      </c>
      <c r="E19" s="607">
        <v>18950000</v>
      </c>
      <c r="F19" s="607"/>
      <c r="G19" s="608">
        <f>F19+E19</f>
        <v>18950000</v>
      </c>
      <c r="H19" s="574"/>
      <c r="I19" s="619">
        <f>+E19*(1+ANEXOS!$C$37)*(1+ANEXOS!$C$38)</f>
        <v>22294500.660000004</v>
      </c>
      <c r="J19" s="610">
        <f>+I19*$J$8</f>
        <v>2445706.7224020003</v>
      </c>
      <c r="K19" s="607"/>
      <c r="L19" s="608">
        <f>+K19+J19+I19</f>
        <v>24740207.382402003</v>
      </c>
      <c r="M19" s="574"/>
    </row>
    <row r="20" spans="1:14" x14ac:dyDescent="0.2">
      <c r="A20" s="574"/>
      <c r="B20" s="620" t="s">
        <v>140</v>
      </c>
      <c r="C20" s="574"/>
      <c r="D20" s="612">
        <f>+D19</f>
        <v>405000</v>
      </c>
      <c r="E20" s="607">
        <v>18950000</v>
      </c>
      <c r="F20" s="607">
        <f>-E20</f>
        <v>-18950000</v>
      </c>
      <c r="G20" s="608">
        <f>F20+E20</f>
        <v>0</v>
      </c>
      <c r="H20" s="574"/>
      <c r="I20" s="619">
        <f>+I19</f>
        <v>22294500.660000004</v>
      </c>
      <c r="J20" s="610">
        <f>+I20*$J$8/12*6</f>
        <v>1222853.3612010002</v>
      </c>
      <c r="K20" s="607">
        <f>-I20-J20</f>
        <v>-23517354.021201003</v>
      </c>
      <c r="L20" s="619">
        <f>+K20+J20+I20</f>
        <v>0</v>
      </c>
      <c r="M20" s="574"/>
    </row>
    <row r="21" spans="1:14" x14ac:dyDescent="0.2">
      <c r="A21" s="574"/>
      <c r="B21" s="620" t="s">
        <v>142</v>
      </c>
      <c r="C21" s="574"/>
      <c r="D21" s="612">
        <v>530000</v>
      </c>
      <c r="E21" s="607"/>
      <c r="F21" s="607">
        <v>29300000</v>
      </c>
      <c r="G21" s="608">
        <f>F21+E21</f>
        <v>29300000</v>
      </c>
      <c r="H21" s="574"/>
      <c r="I21" s="619"/>
      <c r="J21" s="619"/>
      <c r="K21" s="619">
        <f>F21</f>
        <v>29300000</v>
      </c>
      <c r="L21" s="619">
        <f>+K21+J21+I21</f>
        <v>29300000</v>
      </c>
      <c r="M21" s="574"/>
    </row>
    <row r="22" spans="1:14" hidden="1" x14ac:dyDescent="0.2">
      <c r="A22" s="574"/>
      <c r="B22" s="620" t="s">
        <v>480</v>
      </c>
      <c r="C22" s="574"/>
      <c r="D22" s="612"/>
      <c r="E22" s="614">
        <v>0</v>
      </c>
      <c r="F22" s="614"/>
      <c r="G22" s="608">
        <f>F22+E22</f>
        <v>0</v>
      </c>
      <c r="H22" s="574"/>
      <c r="I22" s="619"/>
      <c r="J22" s="616"/>
      <c r="K22" s="614"/>
      <c r="L22" s="621">
        <v>0</v>
      </c>
      <c r="M22" s="574"/>
    </row>
    <row r="23" spans="1:14" x14ac:dyDescent="0.2">
      <c r="A23" s="574"/>
      <c r="B23" s="605"/>
      <c r="C23" s="574"/>
      <c r="D23" s="617">
        <f>+D19+D21</f>
        <v>935000</v>
      </c>
      <c r="E23" s="618">
        <f>SUM(E19:E22)</f>
        <v>37900000</v>
      </c>
      <c r="F23" s="618">
        <f>SUM(F19:F22)</f>
        <v>10350000</v>
      </c>
      <c r="G23" s="618">
        <f>SUM(G19:G22)</f>
        <v>48250000</v>
      </c>
      <c r="H23" s="574"/>
      <c r="I23" s="618">
        <f>SUM(I19:I22)</f>
        <v>44589001.320000008</v>
      </c>
      <c r="J23" s="618">
        <f>SUM(J19:J22)</f>
        <v>3668560.0836030003</v>
      </c>
      <c r="K23" s="618">
        <f>SUM(K19:K22)</f>
        <v>5782645.9787989967</v>
      </c>
      <c r="L23" s="618">
        <f>SUM(L19:L22)</f>
        <v>54040207.382402003</v>
      </c>
      <c r="M23" s="574"/>
    </row>
    <row r="24" spans="1:14" x14ac:dyDescent="0.2">
      <c r="A24" s="574"/>
      <c r="B24" s="605"/>
      <c r="C24" s="574"/>
      <c r="D24" s="612"/>
      <c r="E24" s="607"/>
      <c r="F24" s="607"/>
      <c r="G24" s="608"/>
      <c r="H24" s="574"/>
      <c r="I24" s="619"/>
      <c r="J24" s="610"/>
      <c r="K24" s="607"/>
      <c r="L24" s="608"/>
      <c r="M24" s="574"/>
    </row>
    <row r="25" spans="1:14" x14ac:dyDescent="0.2">
      <c r="A25" s="574"/>
      <c r="B25" s="611" t="s">
        <v>352</v>
      </c>
      <c r="C25" s="574"/>
      <c r="D25" s="612"/>
      <c r="E25" s="607"/>
      <c r="F25" s="607"/>
      <c r="G25" s="608"/>
      <c r="H25" s="574"/>
      <c r="I25" s="619"/>
      <c r="J25" s="610"/>
      <c r="K25" s="607"/>
      <c r="L25" s="608"/>
      <c r="M25" s="574"/>
    </row>
    <row r="26" spans="1:14" x14ac:dyDescent="0.2">
      <c r="A26" s="574"/>
      <c r="B26" s="605" t="s">
        <v>455</v>
      </c>
      <c r="C26" s="574"/>
      <c r="D26" s="612">
        <v>85000</v>
      </c>
      <c r="E26" s="607">
        <v>280000000</v>
      </c>
      <c r="F26" s="607"/>
      <c r="G26" s="608">
        <f>F26+E26</f>
        <v>280000000</v>
      </c>
      <c r="H26" s="574"/>
      <c r="I26" s="619">
        <f>+E26</f>
        <v>280000000</v>
      </c>
      <c r="J26" s="610"/>
      <c r="K26" s="607">
        <f>+F26</f>
        <v>0</v>
      </c>
      <c r="L26" s="608">
        <f>+K26+J26+I26</f>
        <v>280000000</v>
      </c>
      <c r="M26" s="574"/>
    </row>
    <row r="27" spans="1:14" x14ac:dyDescent="0.2">
      <c r="A27" s="574"/>
      <c r="B27" s="605" t="s">
        <v>457</v>
      </c>
      <c r="C27" s="574"/>
      <c r="D27" s="612"/>
      <c r="E27" s="607">
        <v>153000000</v>
      </c>
      <c r="F27" s="607">
        <v>29158000</v>
      </c>
      <c r="G27" s="608">
        <f>F27+E27</f>
        <v>182158000</v>
      </c>
      <c r="H27" s="574"/>
      <c r="I27" s="619">
        <v>0</v>
      </c>
      <c r="J27" s="610"/>
      <c r="K27" s="607">
        <v>0</v>
      </c>
      <c r="L27" s="608">
        <v>0</v>
      </c>
      <c r="M27" s="574"/>
    </row>
    <row r="28" spans="1:14" x14ac:dyDescent="0.2">
      <c r="A28" s="574"/>
      <c r="B28" s="605" t="s">
        <v>456</v>
      </c>
      <c r="C28" s="574"/>
      <c r="D28" s="612"/>
      <c r="E28" s="607"/>
      <c r="F28" s="607">
        <f>-'10. INGRESOS'!D17</f>
        <v>-52615000</v>
      </c>
      <c r="G28" s="608">
        <f>F28+E28</f>
        <v>-52615000</v>
      </c>
      <c r="H28" s="574"/>
      <c r="I28" s="619"/>
      <c r="J28" s="610"/>
      <c r="K28" s="607">
        <v>0</v>
      </c>
      <c r="L28" s="608">
        <v>0</v>
      </c>
      <c r="M28" s="574"/>
    </row>
    <row r="29" spans="1:14" x14ac:dyDescent="0.2">
      <c r="A29" s="574"/>
      <c r="B29" s="605" t="s">
        <v>221</v>
      </c>
      <c r="C29" s="574"/>
      <c r="D29" s="612"/>
      <c r="E29" s="607"/>
      <c r="F29" s="607">
        <v>17390000</v>
      </c>
      <c r="G29" s="608">
        <f>F29+E29</f>
        <v>17390000</v>
      </c>
      <c r="H29" s="574"/>
      <c r="I29" s="619"/>
      <c r="J29" s="610"/>
      <c r="K29" s="607">
        <v>0</v>
      </c>
      <c r="L29" s="608">
        <v>0</v>
      </c>
      <c r="M29" s="574"/>
    </row>
    <row r="30" spans="1:14" x14ac:dyDescent="0.2">
      <c r="A30" s="574"/>
      <c r="B30" s="605"/>
      <c r="C30" s="574"/>
      <c r="D30" s="617">
        <f>+D26</f>
        <v>85000</v>
      </c>
      <c r="E30" s="618">
        <f>SUM(E26:E29)</f>
        <v>433000000</v>
      </c>
      <c r="F30" s="618">
        <f>SUM(F26:F29)</f>
        <v>-6067000</v>
      </c>
      <c r="G30" s="618">
        <f>SUM(G26:G29)</f>
        <v>426933000</v>
      </c>
      <c r="H30" s="574"/>
      <c r="I30" s="618">
        <f>SUM(I26:I29)</f>
        <v>280000000</v>
      </c>
      <c r="J30" s="618">
        <f>SUM(J26:J29)</f>
        <v>0</v>
      </c>
      <c r="K30" s="618">
        <f>SUM(K26:K29)</f>
        <v>0</v>
      </c>
      <c r="L30" s="618">
        <f>SUM(L26:L29)</f>
        <v>280000000</v>
      </c>
      <c r="M30" s="574"/>
    </row>
    <row r="31" spans="1:14" x14ac:dyDescent="0.2">
      <c r="A31" s="574"/>
      <c r="B31" s="605"/>
      <c r="C31" s="574"/>
      <c r="D31" s="612"/>
      <c r="E31" s="607"/>
      <c r="F31" s="607"/>
      <c r="G31" s="608"/>
      <c r="H31" s="574"/>
      <c r="I31" s="619"/>
      <c r="J31" s="610"/>
      <c r="K31" s="607"/>
      <c r="L31" s="608"/>
      <c r="M31" s="574"/>
    </row>
    <row r="32" spans="1:14" x14ac:dyDescent="0.2">
      <c r="A32" s="574"/>
      <c r="B32" s="622" t="s">
        <v>58</v>
      </c>
      <c r="C32" s="623"/>
      <c r="D32" s="624"/>
      <c r="E32" s="625">
        <f>+E16+E23+E30</f>
        <v>739100000</v>
      </c>
      <c r="F32" s="625">
        <f>+F16+F23+F30</f>
        <v>-26992000</v>
      </c>
      <c r="G32" s="625">
        <f>+G16+G23+G30</f>
        <v>712108000</v>
      </c>
      <c r="H32" s="574"/>
      <c r="I32" s="625">
        <f t="shared" ref="I32:L32" si="0">+I16+I23+I30</f>
        <v>549589001.31999993</v>
      </c>
      <c r="J32" s="625">
        <f t="shared" si="0"/>
        <v>3668560.0836030003</v>
      </c>
      <c r="K32" s="625">
        <f t="shared" si="0"/>
        <v>-45367354.021201</v>
      </c>
      <c r="L32" s="625">
        <f t="shared" si="0"/>
        <v>507890207.382402</v>
      </c>
      <c r="M32" s="574"/>
      <c r="N32" s="10"/>
    </row>
    <row r="33" spans="1:14" x14ac:dyDescent="0.2">
      <c r="A33" s="574"/>
      <c r="B33" s="574"/>
      <c r="C33" s="574"/>
      <c r="D33" s="574"/>
      <c r="E33" s="574"/>
      <c r="F33" s="574"/>
      <c r="G33" s="240">
        <f>+E32+F32-G32</f>
        <v>0</v>
      </c>
      <c r="H33" s="574"/>
      <c r="I33" s="574"/>
      <c r="J33" s="610"/>
      <c r="K33" s="574"/>
      <c r="L33" s="240">
        <f>+I32+J32+K32-L32</f>
        <v>0</v>
      </c>
      <c r="M33" s="574"/>
      <c r="N33" s="3"/>
    </row>
    <row r="34" spans="1:14" x14ac:dyDescent="0.2">
      <c r="A34" s="574"/>
      <c r="B34" s="574"/>
      <c r="C34" s="574"/>
      <c r="D34" s="574"/>
      <c r="E34" s="574"/>
      <c r="F34" s="574"/>
      <c r="G34" s="610"/>
      <c r="H34" s="574"/>
      <c r="I34" s="574"/>
      <c r="J34" s="574"/>
      <c r="K34" s="574"/>
      <c r="L34" s="576"/>
      <c r="M34" s="574"/>
    </row>
    <row r="35" spans="1:14" x14ac:dyDescent="0.2">
      <c r="A35" s="574"/>
      <c r="B35" s="575" t="s">
        <v>631</v>
      </c>
      <c r="C35" s="574"/>
      <c r="D35" s="574"/>
      <c r="E35" s="574"/>
      <c r="F35" s="574"/>
      <c r="G35" s="574"/>
      <c r="H35" s="574"/>
      <c r="I35" s="575" t="s">
        <v>612</v>
      </c>
      <c r="J35" s="574"/>
      <c r="K35" s="574"/>
      <c r="L35" s="576"/>
      <c r="M35" s="574"/>
    </row>
    <row r="36" spans="1:14" x14ac:dyDescent="0.2">
      <c r="A36" s="574"/>
      <c r="B36" s="575"/>
      <c r="C36" s="574"/>
      <c r="D36" s="574"/>
      <c r="E36" s="574"/>
      <c r="F36" s="574"/>
      <c r="G36" s="574"/>
      <c r="H36" s="574"/>
      <c r="I36" s="574"/>
      <c r="J36" s="574"/>
      <c r="K36" s="574"/>
      <c r="L36" s="576"/>
      <c r="M36" s="574"/>
    </row>
    <row r="37" spans="1:14" x14ac:dyDescent="0.2">
      <c r="A37" s="574"/>
      <c r="B37" s="574"/>
      <c r="C37" s="574"/>
      <c r="D37" s="574"/>
      <c r="E37" s="626" t="s">
        <v>64</v>
      </c>
      <c r="F37" s="626" t="s">
        <v>64</v>
      </c>
      <c r="G37" s="574"/>
      <c r="H37" s="574"/>
      <c r="I37" s="574"/>
      <c r="J37" s="574"/>
      <c r="K37" s="626" t="s">
        <v>64</v>
      </c>
      <c r="L37" s="626" t="s">
        <v>64</v>
      </c>
      <c r="M37" s="574"/>
    </row>
    <row r="38" spans="1:14" x14ac:dyDescent="0.2">
      <c r="A38" s="574"/>
      <c r="B38" s="627"/>
      <c r="C38" s="574"/>
      <c r="D38" s="574"/>
      <c r="E38" s="628" t="s">
        <v>4</v>
      </c>
      <c r="F38" s="628" t="s">
        <v>6</v>
      </c>
      <c r="G38" s="574"/>
      <c r="H38" s="574"/>
      <c r="I38" s="627"/>
      <c r="J38" s="574"/>
      <c r="K38" s="628" t="s">
        <v>4</v>
      </c>
      <c r="L38" s="628" t="s">
        <v>6</v>
      </c>
      <c r="M38" s="574"/>
    </row>
    <row r="39" spans="1:14" x14ac:dyDescent="0.2">
      <c r="A39" s="574"/>
      <c r="B39" s="627"/>
      <c r="C39" s="574"/>
      <c r="D39" s="574"/>
      <c r="E39" s="626"/>
      <c r="F39" s="626"/>
      <c r="G39" s="574"/>
      <c r="H39" s="574"/>
      <c r="I39" s="627"/>
      <c r="J39" s="574"/>
      <c r="K39" s="626"/>
      <c r="L39" s="626"/>
      <c r="M39" s="574"/>
    </row>
    <row r="40" spans="1:14" x14ac:dyDescent="0.2">
      <c r="A40" s="574"/>
      <c r="B40" s="574" t="s">
        <v>65</v>
      </c>
      <c r="C40" s="574"/>
      <c r="D40" s="574"/>
      <c r="E40" s="607">
        <v>21500000</v>
      </c>
      <c r="F40" s="607">
        <f>+(50*1.3)*D20</f>
        <v>26325000</v>
      </c>
      <c r="G40" s="629" t="s">
        <v>171</v>
      </c>
      <c r="H40" s="574"/>
      <c r="I40" s="574" t="s">
        <v>65</v>
      </c>
      <c r="J40" s="574"/>
      <c r="K40" s="607">
        <f>3000*34500</f>
        <v>103500000</v>
      </c>
      <c r="L40" s="607">
        <f>+K40</f>
        <v>103500000</v>
      </c>
      <c r="M40" s="574"/>
    </row>
    <row r="41" spans="1:14" x14ac:dyDescent="0.2">
      <c r="A41" s="574"/>
      <c r="B41" s="574" t="s">
        <v>66</v>
      </c>
      <c r="C41" s="574"/>
      <c r="D41" s="574"/>
      <c r="E41" s="614">
        <f>F20</f>
        <v>-18950000</v>
      </c>
      <c r="F41" s="614">
        <f>K20</f>
        <v>-23517354.021201003</v>
      </c>
      <c r="G41" s="574"/>
      <c r="H41" s="574"/>
      <c r="I41" s="574" t="s">
        <v>66</v>
      </c>
      <c r="J41" s="574"/>
      <c r="K41" s="614">
        <f>+F11+F14</f>
        <v>-89400000</v>
      </c>
      <c r="L41" s="614">
        <f>K11</f>
        <v>-75000000</v>
      </c>
      <c r="M41" s="574"/>
    </row>
    <row r="42" spans="1:14" x14ac:dyDescent="0.2">
      <c r="A42" s="574"/>
      <c r="B42" s="574"/>
      <c r="C42" s="574"/>
      <c r="D42" s="574"/>
      <c r="E42" s="607"/>
      <c r="F42" s="607"/>
      <c r="G42" s="574"/>
      <c r="H42" s="574"/>
      <c r="I42" s="574"/>
      <c r="J42" s="574"/>
      <c r="K42" s="607" t="s">
        <v>12</v>
      </c>
      <c r="L42" s="607" t="s">
        <v>12</v>
      </c>
      <c r="M42" s="574"/>
    </row>
    <row r="43" spans="1:14" ht="12.75" thickBot="1" x14ac:dyDescent="0.25">
      <c r="A43" s="574"/>
      <c r="B43" s="627" t="s">
        <v>67</v>
      </c>
      <c r="C43" s="574"/>
      <c r="D43" s="574"/>
      <c r="E43" s="630">
        <f>SUM(E40:E42)</f>
        <v>2550000</v>
      </c>
      <c r="F43" s="630">
        <f>SUM(F40:F42)</f>
        <v>2807645.9787989967</v>
      </c>
      <c r="G43" s="629" t="s">
        <v>171</v>
      </c>
      <c r="H43" s="574"/>
      <c r="I43" s="627" t="s">
        <v>67</v>
      </c>
      <c r="J43" s="574"/>
      <c r="K43" s="630">
        <f>SUM(K40:K42)</f>
        <v>14100000</v>
      </c>
      <c r="L43" s="630">
        <f>SUM(L40:L42)</f>
        <v>28500000</v>
      </c>
      <c r="M43" s="629" t="s">
        <v>608</v>
      </c>
    </row>
    <row r="44" spans="1:14" ht="12.75" thickTop="1" x14ac:dyDescent="0.2">
      <c r="A44" s="574"/>
      <c r="B44" s="574"/>
      <c r="C44" s="574"/>
      <c r="D44" s="574"/>
      <c r="E44" s="574"/>
      <c r="F44" s="574"/>
      <c r="G44" s="574"/>
      <c r="H44" s="574"/>
      <c r="I44" s="627"/>
      <c r="J44" s="574"/>
      <c r="K44" s="631"/>
      <c r="L44" s="631"/>
      <c r="M44" s="574"/>
    </row>
    <row r="45" spans="1:14" x14ac:dyDescent="0.2">
      <c r="A45" s="574"/>
      <c r="B45" s="574" t="s">
        <v>458</v>
      </c>
      <c r="C45" s="574"/>
      <c r="D45" s="574"/>
      <c r="E45" s="574"/>
      <c r="F45" s="574"/>
      <c r="G45" s="574"/>
      <c r="H45" s="574"/>
      <c r="I45" s="574" t="s">
        <v>633</v>
      </c>
      <c r="J45" s="574"/>
      <c r="K45" s="574"/>
      <c r="L45" s="574"/>
      <c r="M45" s="574"/>
    </row>
    <row r="46" spans="1:14" x14ac:dyDescent="0.2">
      <c r="A46" s="574"/>
      <c r="B46" s="574" t="s">
        <v>418</v>
      </c>
      <c r="C46" s="574"/>
      <c r="D46" s="574"/>
      <c r="E46" s="574"/>
      <c r="F46" s="574"/>
      <c r="G46" s="574"/>
      <c r="H46" s="574"/>
      <c r="I46" s="574" t="s">
        <v>609</v>
      </c>
      <c r="J46" s="574"/>
      <c r="K46" s="574"/>
      <c r="L46" s="574"/>
      <c r="M46" s="574"/>
    </row>
    <row r="47" spans="1:14" x14ac:dyDescent="0.2">
      <c r="A47" s="574"/>
      <c r="B47" s="574" t="s">
        <v>417</v>
      </c>
      <c r="C47" s="574"/>
      <c r="D47" s="574"/>
      <c r="E47" s="574"/>
      <c r="F47" s="574"/>
      <c r="G47" s="574"/>
      <c r="H47" s="574"/>
      <c r="I47" s="574" t="s">
        <v>610</v>
      </c>
      <c r="J47" s="574"/>
      <c r="K47" s="574"/>
      <c r="L47" s="576"/>
      <c r="M47" s="574"/>
    </row>
    <row r="48" spans="1:14" x14ac:dyDescent="0.2">
      <c r="A48" s="574"/>
      <c r="B48" s="574"/>
      <c r="C48" s="574"/>
      <c r="D48" s="574"/>
      <c r="E48" s="574"/>
      <c r="F48" s="574"/>
      <c r="G48" s="574"/>
      <c r="H48" s="574"/>
      <c r="I48" s="574" t="s">
        <v>611</v>
      </c>
      <c r="J48" s="574"/>
      <c r="K48" s="574"/>
      <c r="L48" s="574"/>
      <c r="M48" s="574"/>
    </row>
    <row r="49" spans="1:13" x14ac:dyDescent="0.2">
      <c r="A49" s="574"/>
      <c r="B49" s="574"/>
      <c r="C49" s="574"/>
      <c r="D49" s="574"/>
      <c r="E49" s="574"/>
      <c r="F49" s="574"/>
      <c r="G49" s="574"/>
      <c r="H49" s="574"/>
      <c r="I49" s="574"/>
      <c r="J49" s="574"/>
      <c r="K49" s="574"/>
      <c r="L49" s="574"/>
      <c r="M49" s="574"/>
    </row>
    <row r="50" spans="1:13" x14ac:dyDescent="0.2">
      <c r="L50" s="8"/>
    </row>
    <row r="205" ht="12.75" customHeight="1" x14ac:dyDescent="0.2"/>
    <row r="206" ht="12.75" customHeight="1" x14ac:dyDescent="0.2"/>
    <row r="207" ht="12.75" customHeight="1" x14ac:dyDescent="0.2"/>
  </sheetData>
  <sheetProtection algorithmName="SHA-512" hashValue="dI0yAFeSYUOiUL/cIEAWPycCYX24NXxeBom1EY6xjYKXTL0SvuomkcGuOfAIVD2iAXCV5g/bMl/lwR99VXVAbw==" saltValue="ad9hDo7DQt1c+pnFHfHkwQ==" spinCount="100000" sheet="1" objects="1" scenarios="1"/>
  <mergeCells count="3">
    <mergeCell ref="E6:G6"/>
    <mergeCell ref="I6:L6"/>
    <mergeCell ref="B7:C7"/>
  </mergeCells>
  <phoneticPr fontId="7" type="noConversion"/>
  <printOptions horizontalCentered="1" verticalCentered="1"/>
  <pageMargins left="0.39370078740157483" right="0.39370078740157483" top="0.39370078740157483" bottom="0.39370078740157483" header="0" footer="0"/>
  <pageSetup scale="95" orientation="landscape" horizontalDpi="360" verticalDpi="360" r:id="rId1"/>
  <headerFooter alignWithMargins="0">
    <oddHeader xml:space="preserve">&amp;C </oddHeader>
    <oddFooter xml:space="preserve">&amp;C </oddFooter>
  </headerFooter>
  <ignoredErrors>
    <ignoredError sqref="B1:L2 B8:D8 B32:D32 F8:I8 B9:L9 B34:L34 B33:D33 B20:L31 B19:H19 I19:L19 J8:L8 H32 H33:L33 E33:G33 E32:G32 I32:L32 B12:C12 C10:L10 E12:L12 D11:L11 C18:L18 B16 B36:H43 B17 I16:L16 E16:G16 C16 H16 C17:L17 G14:L14 C15 C13:L13 D15 C14:D14 G15:L15 E14:F15 J39:L43 C35:H35 B4:L7 B3:J3 L3" unlockedFormula="1"/>
    <ignoredError sqref="E8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2"/>
  <sheetViews>
    <sheetView topLeftCell="A6" zoomScaleNormal="100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L6" sqref="L6"/>
    </sheetView>
  </sheetViews>
  <sheetFormatPr baseColWidth="10" defaultRowHeight="12.75" x14ac:dyDescent="0.2"/>
  <cols>
    <col min="1" max="1" width="11.42578125" style="31"/>
    <col min="2" max="2" width="13.7109375" style="31" customWidth="1"/>
    <col min="3" max="3" width="10.85546875" style="31" bestFit="1" customWidth="1"/>
    <col min="4" max="4" width="1.7109375" style="31" customWidth="1"/>
    <col min="5" max="5" width="12.42578125" style="31" customWidth="1"/>
    <col min="6" max="6" width="12" style="31" bestFit="1" customWidth="1"/>
    <col min="7" max="7" width="12.7109375" style="31" bestFit="1" customWidth="1"/>
    <col min="8" max="8" width="1.7109375" style="31" customWidth="1"/>
    <col min="9" max="9" width="12.7109375" style="31" bestFit="1" customWidth="1"/>
    <col min="10" max="10" width="11.140625" style="31" bestFit="1" customWidth="1"/>
    <col min="11" max="11" width="12.28515625" style="31" bestFit="1" customWidth="1"/>
    <col min="12" max="12" width="12.7109375" style="31" customWidth="1"/>
    <col min="13" max="13" width="2.7109375" style="32" customWidth="1"/>
    <col min="14" max="16384" width="11.42578125" style="31"/>
  </cols>
  <sheetData>
    <row r="1" spans="1:14" s="5" customFormat="1" ht="12.75" customHeight="1" x14ac:dyDescent="0.2">
      <c r="A1" s="54" t="str">
        <f>+'6. INVERSIONES'!B1</f>
        <v>EL EXPERTO S.A.S.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4" s="5" customFormat="1" ht="12.75" customHeight="1" x14ac:dyDescent="0.2">
      <c r="A2" s="54" t="str">
        <f>+'6. INVERSIONES'!B2</f>
        <v>NIT 890.378.233 - 1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4" s="5" customFormat="1" ht="12.75" customHeight="1" x14ac:dyDescent="0.2">
      <c r="A3" s="54" t="str">
        <f>+'6. INVERSIONES'!B3</f>
        <v>DECLARACION DE RENTA AÑO GRAVABLE 2024</v>
      </c>
      <c r="B3" s="56"/>
      <c r="C3" s="56"/>
      <c r="D3" s="56"/>
      <c r="E3" s="56"/>
      <c r="F3" s="56"/>
      <c r="G3" s="56"/>
      <c r="H3" s="56"/>
      <c r="I3" s="56"/>
      <c r="J3" s="56"/>
      <c r="K3" s="59" t="s">
        <v>45</v>
      </c>
      <c r="L3" s="56"/>
      <c r="M3" s="57"/>
    </row>
    <row r="4" spans="1:14" s="5" customFormat="1" ht="12.75" customHeight="1" x14ac:dyDescent="0.2">
      <c r="A4" s="54" t="s">
        <v>556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4" s="5" customFormat="1" ht="12.7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4" s="5" customFormat="1" ht="12.75" customHeight="1" x14ac:dyDescent="0.2">
      <c r="A6" s="242"/>
      <c r="B6" s="243"/>
      <c r="C6" s="244"/>
      <c r="D6" s="232"/>
      <c r="E6" s="548" t="s">
        <v>364</v>
      </c>
      <c r="F6" s="549"/>
      <c r="G6" s="550"/>
      <c r="H6" s="56"/>
      <c r="I6" s="245" t="s">
        <v>365</v>
      </c>
      <c r="J6" s="246"/>
      <c r="K6" s="246"/>
      <c r="L6" s="247"/>
      <c r="M6" s="57"/>
    </row>
    <row r="7" spans="1:14" s="5" customFormat="1" ht="12.75" customHeight="1" x14ac:dyDescent="0.2">
      <c r="A7" s="554" t="s">
        <v>46</v>
      </c>
      <c r="B7" s="555"/>
      <c r="C7" s="248" t="s">
        <v>68</v>
      </c>
      <c r="D7" s="232"/>
      <c r="E7" s="249" t="s">
        <v>358</v>
      </c>
      <c r="F7" s="250" t="s">
        <v>48</v>
      </c>
      <c r="G7" s="249" t="s">
        <v>358</v>
      </c>
      <c r="H7" s="56"/>
      <c r="I7" s="251" t="s">
        <v>358</v>
      </c>
      <c r="J7" s="252" t="s">
        <v>174</v>
      </c>
      <c r="K7" s="253" t="s">
        <v>48</v>
      </c>
      <c r="L7" s="251" t="s">
        <v>358</v>
      </c>
      <c r="M7" s="57"/>
    </row>
    <row r="8" spans="1:14" s="5" customFormat="1" ht="12.75" customHeight="1" x14ac:dyDescent="0.2">
      <c r="A8" s="224"/>
      <c r="B8" s="225"/>
      <c r="C8" s="254" t="s">
        <v>355</v>
      </c>
      <c r="D8" s="232"/>
      <c r="E8" s="255" t="str">
        <f>+'6. INVERSIONES'!E8</f>
        <v xml:space="preserve"> 31-12-23</v>
      </c>
      <c r="F8" s="256" t="s">
        <v>97</v>
      </c>
      <c r="G8" s="257" t="str">
        <f>+'6. INVERSIONES'!G8</f>
        <v xml:space="preserve"> 31-12-24</v>
      </c>
      <c r="H8" s="56"/>
      <c r="I8" s="228" t="str">
        <f>+'7. PPyE'!E8</f>
        <v xml:space="preserve"> 31-12-23</v>
      </c>
      <c r="J8" s="227">
        <f>+'6. INVERSIONES'!J8</f>
        <v>0.10970000000000001</v>
      </c>
      <c r="K8" s="258" t="s">
        <v>97</v>
      </c>
      <c r="L8" s="259" t="str">
        <f>+'7. PPyE'!G8</f>
        <v xml:space="preserve"> 31-12-24</v>
      </c>
      <c r="M8" s="57"/>
    </row>
    <row r="9" spans="1:14" s="5" customFormat="1" ht="12.75" customHeight="1" x14ac:dyDescent="0.2">
      <c r="A9" s="229"/>
      <c r="B9" s="56"/>
      <c r="C9" s="230"/>
      <c r="D9" s="56"/>
      <c r="E9" s="230"/>
      <c r="F9" s="230"/>
      <c r="G9" s="231"/>
      <c r="H9" s="56"/>
      <c r="I9" s="230"/>
      <c r="J9" s="88"/>
      <c r="K9" s="230"/>
      <c r="L9" s="231"/>
      <c r="M9" s="57"/>
      <c r="N9" s="2"/>
    </row>
    <row r="10" spans="1:14" s="5" customFormat="1" ht="12.75" customHeight="1" x14ac:dyDescent="0.2">
      <c r="A10" s="233" t="s">
        <v>51</v>
      </c>
      <c r="B10" s="56"/>
      <c r="C10" s="230"/>
      <c r="D10" s="56"/>
      <c r="E10" s="230"/>
      <c r="F10" s="230"/>
      <c r="G10" s="231"/>
      <c r="H10" s="56"/>
      <c r="I10" s="230"/>
      <c r="J10" s="88"/>
      <c r="K10" s="230"/>
      <c r="L10" s="231"/>
      <c r="M10" s="57"/>
      <c r="N10" s="2"/>
    </row>
    <row r="11" spans="1:14" s="5" customFormat="1" ht="12.75" customHeight="1" x14ac:dyDescent="0.2">
      <c r="A11" s="229" t="s">
        <v>125</v>
      </c>
      <c r="B11" s="56"/>
      <c r="C11" s="230">
        <v>61700000</v>
      </c>
      <c r="D11" s="56"/>
      <c r="E11" s="230">
        <v>108000000</v>
      </c>
      <c r="F11" s="230">
        <f>-E11</f>
        <v>-108000000</v>
      </c>
      <c r="G11" s="231">
        <f>+F11+E11</f>
        <v>0</v>
      </c>
      <c r="H11" s="88"/>
      <c r="I11" s="230">
        <v>239000000</v>
      </c>
      <c r="J11" s="88"/>
      <c r="K11" s="230">
        <f>-I11-J11</f>
        <v>-239000000</v>
      </c>
      <c r="L11" s="231">
        <f>+I11+J11+K11</f>
        <v>0</v>
      </c>
      <c r="M11" s="57"/>
      <c r="N11" s="2"/>
    </row>
    <row r="12" spans="1:14" s="5" customFormat="1" ht="12.75" customHeight="1" x14ac:dyDescent="0.2">
      <c r="A12" s="229" t="s">
        <v>52</v>
      </c>
      <c r="B12" s="56"/>
      <c r="C12" s="235">
        <v>311990000</v>
      </c>
      <c r="D12" s="56"/>
      <c r="E12" s="235">
        <v>504800000</v>
      </c>
      <c r="F12" s="235"/>
      <c r="G12" s="238">
        <f>+F12+E12</f>
        <v>504800000</v>
      </c>
      <c r="H12" s="88"/>
      <c r="I12" s="235">
        <v>431850000</v>
      </c>
      <c r="J12" s="92"/>
      <c r="K12" s="235"/>
      <c r="L12" s="238">
        <f>I12+J12+K12</f>
        <v>431850000</v>
      </c>
      <c r="M12" s="57"/>
      <c r="N12" s="2"/>
    </row>
    <row r="13" spans="1:14" s="5" customFormat="1" ht="12.75" customHeight="1" x14ac:dyDescent="0.2">
      <c r="A13" s="229" t="s">
        <v>53</v>
      </c>
      <c r="B13" s="56"/>
      <c r="C13" s="235">
        <f>SUM(C11:C12)</f>
        <v>373690000</v>
      </c>
      <c r="D13" s="56"/>
      <c r="E13" s="235">
        <f>SUM(E11:E12)</f>
        <v>612800000</v>
      </c>
      <c r="F13" s="235">
        <f>SUM(F10:F12)</f>
        <v>-108000000</v>
      </c>
      <c r="G13" s="238">
        <f>SUM(G10:G12)</f>
        <v>504800000</v>
      </c>
      <c r="H13" s="88"/>
      <c r="I13" s="235">
        <f>SUM(I11:I12)</f>
        <v>670850000</v>
      </c>
      <c r="J13" s="92">
        <f>SUM(J11:J12)</f>
        <v>0</v>
      </c>
      <c r="K13" s="235">
        <f>SUM(K11:K12)</f>
        <v>-239000000</v>
      </c>
      <c r="L13" s="235">
        <f>SUM(L11:L12)</f>
        <v>431850000</v>
      </c>
      <c r="M13" s="57"/>
      <c r="N13" s="2"/>
    </row>
    <row r="14" spans="1:14" s="5" customFormat="1" ht="12.75" customHeight="1" x14ac:dyDescent="0.2">
      <c r="A14" s="229"/>
      <c r="B14" s="56"/>
      <c r="C14" s="230"/>
      <c r="D14" s="56"/>
      <c r="E14" s="230"/>
      <c r="F14" s="230"/>
      <c r="G14" s="231"/>
      <c r="H14" s="88"/>
      <c r="I14" s="230"/>
      <c r="J14" s="88"/>
      <c r="K14" s="230"/>
      <c r="L14" s="231"/>
      <c r="M14" s="57"/>
      <c r="N14" s="2"/>
    </row>
    <row r="15" spans="1:14" s="5" customFormat="1" ht="12.75" customHeight="1" x14ac:dyDescent="0.2">
      <c r="A15" s="233" t="s">
        <v>368</v>
      </c>
      <c r="B15" s="56"/>
      <c r="C15" s="230"/>
      <c r="D15" s="56"/>
      <c r="E15" s="230"/>
      <c r="F15" s="230"/>
      <c r="G15" s="231"/>
      <c r="H15" s="88"/>
      <c r="I15" s="230"/>
      <c r="J15" s="88"/>
      <c r="K15" s="230"/>
      <c r="L15" s="231"/>
      <c r="M15" s="57"/>
      <c r="N15" s="2"/>
    </row>
    <row r="16" spans="1:14" s="5" customFormat="1" ht="12.75" customHeight="1" x14ac:dyDescent="0.2">
      <c r="A16" s="229" t="s">
        <v>506</v>
      </c>
      <c r="B16" s="56"/>
      <c r="C16" s="230">
        <v>318000000</v>
      </c>
      <c r="D16" s="56"/>
      <c r="E16" s="230">
        <f>+C16</f>
        <v>318000000</v>
      </c>
      <c r="F16" s="230"/>
      <c r="G16" s="231">
        <f>+F16+E16</f>
        <v>318000000</v>
      </c>
      <c r="H16" s="88"/>
      <c r="I16" s="230">
        <f>E16*(1+ANEXOS!C35)*(1+ANEXOS!C36)*(1+ANEXOS!C37)</f>
        <v>352644659.33598</v>
      </c>
      <c r="J16" s="230">
        <f>551000000-I16</f>
        <v>198355340.66402</v>
      </c>
      <c r="K16" s="230"/>
      <c r="L16" s="231">
        <f>+I16+J16+K16</f>
        <v>551000000</v>
      </c>
      <c r="M16" s="57"/>
      <c r="N16" s="2"/>
    </row>
    <row r="17" spans="1:14" s="5" customFormat="1" ht="12.75" customHeight="1" x14ac:dyDescent="0.2">
      <c r="A17" s="229" t="s">
        <v>624</v>
      </c>
      <c r="B17" s="56"/>
      <c r="C17" s="230">
        <v>370000000</v>
      </c>
      <c r="D17" s="56"/>
      <c r="E17" s="234">
        <f>+C17</f>
        <v>370000000</v>
      </c>
      <c r="F17" s="234">
        <v>35000000</v>
      </c>
      <c r="G17" s="260">
        <f>+F17+E17</f>
        <v>405000000</v>
      </c>
      <c r="H17" s="88"/>
      <c r="I17" s="234">
        <f>+C17</f>
        <v>370000000</v>
      </c>
      <c r="J17" s="234"/>
      <c r="K17" s="234"/>
      <c r="L17" s="260">
        <f>+I17+J17+K17</f>
        <v>370000000</v>
      </c>
      <c r="M17" s="261"/>
      <c r="N17" s="2"/>
    </row>
    <row r="18" spans="1:14" s="5" customFormat="1" ht="12.75" customHeight="1" x14ac:dyDescent="0.2">
      <c r="A18" s="229" t="s">
        <v>369</v>
      </c>
      <c r="B18" s="56"/>
      <c r="C18" s="236">
        <f>SUM(C16:C17)</f>
        <v>688000000</v>
      </c>
      <c r="D18" s="56"/>
      <c r="E18" s="236">
        <f>SUM(E16:E17)</f>
        <v>688000000</v>
      </c>
      <c r="F18" s="236">
        <f>SUM(F16:F17)</f>
        <v>35000000</v>
      </c>
      <c r="G18" s="236">
        <f>SUM(G16:G17)</f>
        <v>723000000</v>
      </c>
      <c r="H18" s="88"/>
      <c r="I18" s="236">
        <f>SUM(I16:I17)</f>
        <v>722644659.33597994</v>
      </c>
      <c r="J18" s="236">
        <f>SUM(J16:J17)</f>
        <v>198355340.66402</v>
      </c>
      <c r="K18" s="236">
        <f>SUM(K16:K17)</f>
        <v>0</v>
      </c>
      <c r="L18" s="236">
        <f>SUM(L16:L17)</f>
        <v>921000000</v>
      </c>
      <c r="M18" s="57"/>
      <c r="N18" s="2"/>
    </row>
    <row r="19" spans="1:14" s="5" customFormat="1" ht="12.75" customHeight="1" x14ac:dyDescent="0.2">
      <c r="A19" s="229"/>
      <c r="B19" s="56"/>
      <c r="C19" s="230"/>
      <c r="D19" s="56"/>
      <c r="E19" s="230"/>
      <c r="F19" s="230"/>
      <c r="G19" s="231"/>
      <c r="H19" s="88"/>
      <c r="I19" s="230"/>
      <c r="J19" s="88"/>
      <c r="K19" s="230"/>
      <c r="L19" s="231" t="s">
        <v>12</v>
      </c>
      <c r="M19" s="57"/>
      <c r="N19" s="2"/>
    </row>
    <row r="20" spans="1:14" s="5" customFormat="1" ht="12.75" customHeight="1" x14ac:dyDescent="0.2">
      <c r="A20" s="233" t="s">
        <v>54</v>
      </c>
      <c r="B20" s="56"/>
      <c r="C20" s="235">
        <v>71330120</v>
      </c>
      <c r="D20" s="56"/>
      <c r="E20" s="235">
        <f>+C20</f>
        <v>71330120</v>
      </c>
      <c r="F20" s="235"/>
      <c r="G20" s="238">
        <f>+F20+E20</f>
        <v>71330120</v>
      </c>
      <c r="H20" s="88"/>
      <c r="I20" s="235">
        <f>+E20</f>
        <v>71330120</v>
      </c>
      <c r="J20" s="92"/>
      <c r="K20" s="235"/>
      <c r="L20" s="238">
        <f>I20+J20+K20</f>
        <v>71330120</v>
      </c>
      <c r="M20" s="57"/>
      <c r="N20" s="2"/>
    </row>
    <row r="21" spans="1:14" s="5" customFormat="1" ht="12.75" customHeight="1" x14ac:dyDescent="0.2">
      <c r="A21" s="229"/>
      <c r="B21" s="56"/>
      <c r="C21" s="230"/>
      <c r="D21" s="56"/>
      <c r="E21" s="230"/>
      <c r="F21" s="230"/>
      <c r="G21" s="231"/>
      <c r="H21" s="88"/>
      <c r="I21" s="230"/>
      <c r="J21" s="88"/>
      <c r="K21" s="230"/>
      <c r="L21" s="231"/>
      <c r="M21" s="57"/>
      <c r="N21" s="2"/>
    </row>
    <row r="22" spans="1:14" s="5" customFormat="1" ht="12.75" customHeight="1" x14ac:dyDescent="0.2">
      <c r="A22" s="233" t="s">
        <v>55</v>
      </c>
      <c r="B22" s="56"/>
      <c r="C22" s="230"/>
      <c r="D22" s="56"/>
      <c r="E22" s="230"/>
      <c r="F22" s="230"/>
      <c r="G22" s="231"/>
      <c r="H22" s="88"/>
      <c r="I22" s="230"/>
      <c r="J22" s="88"/>
      <c r="K22" s="230"/>
      <c r="L22" s="231"/>
      <c r="M22" s="57"/>
      <c r="N22" s="2"/>
    </row>
    <row r="23" spans="1:14" s="5" customFormat="1" ht="12.75" customHeight="1" x14ac:dyDescent="0.2">
      <c r="A23" s="229" t="s">
        <v>56</v>
      </c>
      <c r="B23" s="56"/>
      <c r="C23" s="230">
        <v>412743000</v>
      </c>
      <c r="D23" s="56"/>
      <c r="E23" s="230">
        <f>+C23</f>
        <v>412743000</v>
      </c>
      <c r="F23" s="230"/>
      <c r="G23" s="231">
        <f>+F23+E23</f>
        <v>412743000</v>
      </c>
      <c r="H23" s="88"/>
      <c r="I23" s="230">
        <f>+E23</f>
        <v>412743000</v>
      </c>
      <c r="J23" s="88">
        <f>+(I23-'8. DEPRECIACIÓN'!J23)*J8</f>
        <v>13583372.130000001</v>
      </c>
      <c r="K23" s="230"/>
      <c r="L23" s="231">
        <f>I23+J23+K23</f>
        <v>426326372.13</v>
      </c>
      <c r="M23" s="57"/>
      <c r="N23" s="2"/>
    </row>
    <row r="24" spans="1:14" s="5" customFormat="1" ht="12.75" customHeight="1" x14ac:dyDescent="0.2">
      <c r="A24" s="229" t="s">
        <v>172</v>
      </c>
      <c r="B24" s="56"/>
      <c r="C24" s="230">
        <v>30000000</v>
      </c>
      <c r="D24" s="56"/>
      <c r="E24" s="230">
        <f>+C24</f>
        <v>30000000</v>
      </c>
      <c r="F24" s="230">
        <f>-E24</f>
        <v>-30000000</v>
      </c>
      <c r="G24" s="231">
        <f>+F24+E24</f>
        <v>0</v>
      </c>
      <c r="H24" s="88"/>
      <c r="I24" s="230">
        <f>+E24</f>
        <v>30000000</v>
      </c>
      <c r="J24" s="88">
        <f>(+I24-'8. DEPRECIACIÓN'!J24)*J8/12*9</f>
        <v>740475</v>
      </c>
      <c r="K24" s="230">
        <f>-I24-J24</f>
        <v>-30740475</v>
      </c>
      <c r="L24" s="231">
        <f>I24+J24+K24</f>
        <v>0</v>
      </c>
      <c r="M24" s="57"/>
      <c r="N24" s="2"/>
    </row>
    <row r="25" spans="1:14" s="5" customFormat="1" ht="12.75" customHeight="1" x14ac:dyDescent="0.2">
      <c r="A25" s="229" t="s">
        <v>173</v>
      </c>
      <c r="B25" s="56"/>
      <c r="C25" s="235"/>
      <c r="D25" s="56"/>
      <c r="E25" s="235"/>
      <c r="F25" s="235">
        <f>129300000+26400000</f>
        <v>155700000</v>
      </c>
      <c r="G25" s="238">
        <f>+F25+E25</f>
        <v>155700000</v>
      </c>
      <c r="H25" s="88"/>
      <c r="I25" s="235"/>
      <c r="J25" s="92">
        <f>+(K25-'8. DEPRECIACIÓN'!J25)*J8/12*7</f>
        <v>9963502.5</v>
      </c>
      <c r="K25" s="235">
        <f>+F25</f>
        <v>155700000</v>
      </c>
      <c r="L25" s="238">
        <f>+I25+J25+K25</f>
        <v>165663502.5</v>
      </c>
      <c r="M25" s="57"/>
      <c r="N25" s="2"/>
    </row>
    <row r="26" spans="1:14" s="5" customFormat="1" ht="12.75" customHeight="1" x14ac:dyDescent="0.2">
      <c r="A26" s="229" t="s">
        <v>57</v>
      </c>
      <c r="B26" s="56"/>
      <c r="C26" s="235">
        <f>SUM(C23:C25)</f>
        <v>442743000</v>
      </c>
      <c r="D26" s="56"/>
      <c r="E26" s="235">
        <f>SUM(E23:E25)</f>
        <v>442743000</v>
      </c>
      <c r="F26" s="235">
        <f>SUM(F23:F25)</f>
        <v>125700000</v>
      </c>
      <c r="G26" s="235">
        <f>SUM(G23:G25)</f>
        <v>568443000</v>
      </c>
      <c r="H26" s="88"/>
      <c r="I26" s="235">
        <f>SUM(I23:I25)</f>
        <v>442743000</v>
      </c>
      <c r="J26" s="92">
        <f>SUM(J23:J25)</f>
        <v>24287349.630000003</v>
      </c>
      <c r="K26" s="235">
        <f>SUM(K23:K25)</f>
        <v>124959525</v>
      </c>
      <c r="L26" s="235">
        <f>SUM(L23:L25)</f>
        <v>591989874.63</v>
      </c>
      <c r="M26" s="57"/>
      <c r="N26" s="2"/>
    </row>
    <row r="27" spans="1:14" s="5" customFormat="1" ht="12.75" customHeight="1" x14ac:dyDescent="0.2">
      <c r="A27" s="229"/>
      <c r="B27" s="56"/>
      <c r="C27" s="230"/>
      <c r="D27" s="56"/>
      <c r="E27" s="230"/>
      <c r="F27" s="230"/>
      <c r="G27" s="231"/>
      <c r="H27" s="88"/>
      <c r="I27" s="230"/>
      <c r="J27" s="88"/>
      <c r="K27" s="230"/>
      <c r="L27" s="231"/>
      <c r="M27" s="57"/>
      <c r="N27" s="2"/>
    </row>
    <row r="28" spans="1:14" s="5" customFormat="1" ht="12.75" customHeight="1" x14ac:dyDescent="0.2">
      <c r="A28" s="233" t="s">
        <v>205</v>
      </c>
      <c r="B28" s="56"/>
      <c r="C28" s="230"/>
      <c r="D28" s="56"/>
      <c r="E28" s="230"/>
      <c r="F28" s="230"/>
      <c r="G28" s="231"/>
      <c r="H28" s="88"/>
      <c r="I28" s="230"/>
      <c r="J28" s="88"/>
      <c r="K28" s="230"/>
      <c r="L28" s="231"/>
      <c r="M28" s="57"/>
      <c r="N28" s="2"/>
    </row>
    <row r="29" spans="1:14" s="5" customFormat="1" ht="12.75" customHeight="1" x14ac:dyDescent="0.2">
      <c r="A29" s="229" t="s">
        <v>56</v>
      </c>
      <c r="B29" s="56"/>
      <c r="C29" s="230">
        <v>187930000</v>
      </c>
      <c r="D29" s="56"/>
      <c r="E29" s="230">
        <f>+C29</f>
        <v>187930000</v>
      </c>
      <c r="F29" s="230"/>
      <c r="G29" s="231">
        <f>+F29+E29</f>
        <v>187930000</v>
      </c>
      <c r="H29" s="88"/>
      <c r="I29" s="230">
        <f>+E29</f>
        <v>187930000</v>
      </c>
      <c r="J29" s="88"/>
      <c r="K29" s="230"/>
      <c r="L29" s="230">
        <f>I29+J29+K29</f>
        <v>187930000</v>
      </c>
      <c r="M29" s="57"/>
      <c r="N29" s="2"/>
    </row>
    <row r="30" spans="1:14" s="5" customFormat="1" ht="12.75" customHeight="1" x14ac:dyDescent="0.2">
      <c r="A30" s="229" t="s">
        <v>473</v>
      </c>
      <c r="B30" s="56"/>
      <c r="C30" s="230"/>
      <c r="D30" s="56"/>
      <c r="E30" s="230">
        <f>+C30</f>
        <v>0</v>
      </c>
      <c r="F30" s="230">
        <f>219000000</f>
        <v>219000000</v>
      </c>
      <c r="G30" s="231">
        <f>+F30+E30</f>
        <v>219000000</v>
      </c>
      <c r="H30" s="88"/>
      <c r="I30" s="230">
        <f>+C30</f>
        <v>0</v>
      </c>
      <c r="J30" s="88"/>
      <c r="K30" s="230">
        <f>+F30</f>
        <v>219000000</v>
      </c>
      <c r="L30" s="230">
        <f>I30+J30+K30</f>
        <v>219000000</v>
      </c>
      <c r="M30" s="57"/>
      <c r="N30" s="2"/>
    </row>
    <row r="31" spans="1:14" s="5" customFormat="1" ht="12.75" customHeight="1" x14ac:dyDescent="0.2">
      <c r="A31" s="229" t="s">
        <v>360</v>
      </c>
      <c r="B31" s="56"/>
      <c r="C31" s="236">
        <f>SUM(C29:C30)</f>
        <v>187930000</v>
      </c>
      <c r="D31" s="56"/>
      <c r="E31" s="236">
        <f>SUM(E29:E30)</f>
        <v>187930000</v>
      </c>
      <c r="F31" s="236">
        <f>SUM(F29:F30)</f>
        <v>219000000</v>
      </c>
      <c r="G31" s="236">
        <f>SUM(G29:G30)</f>
        <v>406930000</v>
      </c>
      <c r="H31" s="88"/>
      <c r="I31" s="236">
        <f>SUM(I29:I30)</f>
        <v>187930000</v>
      </c>
      <c r="J31" s="236">
        <f>SUM(J29:J30)</f>
        <v>0</v>
      </c>
      <c r="K31" s="236">
        <f>SUM(K29:K30)</f>
        <v>219000000</v>
      </c>
      <c r="L31" s="236">
        <f>SUM(L29:L30)</f>
        <v>406930000</v>
      </c>
      <c r="M31" s="57"/>
      <c r="N31" s="2"/>
    </row>
    <row r="32" spans="1:14" s="5" customFormat="1" ht="12.75" customHeight="1" x14ac:dyDescent="0.2">
      <c r="A32" s="229"/>
      <c r="B32" s="56"/>
      <c r="C32" s="230"/>
      <c r="D32" s="56"/>
      <c r="E32" s="230"/>
      <c r="F32" s="230"/>
      <c r="G32" s="231"/>
      <c r="H32" s="88"/>
      <c r="I32" s="230"/>
      <c r="J32" s="88"/>
      <c r="K32" s="230"/>
      <c r="L32" s="231"/>
      <c r="M32" s="57"/>
      <c r="N32" s="2"/>
    </row>
    <row r="33" spans="1:14" s="29" customFormat="1" ht="12.75" customHeight="1" x14ac:dyDescent="0.2">
      <c r="A33" s="214" t="s">
        <v>356</v>
      </c>
      <c r="B33" s="262"/>
      <c r="C33" s="263"/>
      <c r="D33" s="56"/>
      <c r="E33" s="263">
        <f>+E31+E26+E20+E18+E13</f>
        <v>2002803120</v>
      </c>
      <c r="F33" s="263">
        <f>+F31+F26+F20+F18+F13</f>
        <v>271700000</v>
      </c>
      <c r="G33" s="263">
        <f>+G31+G26+G20+G18+G13</f>
        <v>2274503120</v>
      </c>
      <c r="H33" s="264"/>
      <c r="I33" s="263">
        <f>+I31+I26+I20+I18+I13</f>
        <v>2095497779.3359799</v>
      </c>
      <c r="J33" s="263">
        <f>+J31+J26+J20+J18+J13</f>
        <v>222642690.29402</v>
      </c>
      <c r="K33" s="263">
        <f>+K31+K26+K20+K18+K13</f>
        <v>104959525</v>
      </c>
      <c r="L33" s="263">
        <f>+L31+L26+L20+L18+L13</f>
        <v>2423099994.6300001</v>
      </c>
      <c r="M33" s="37"/>
      <c r="N33" s="28"/>
    </row>
    <row r="34" spans="1:14" s="29" customForma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4" s="29" customFormat="1" x14ac:dyDescent="0.2">
      <c r="A35" s="265" t="s">
        <v>546</v>
      </c>
      <c r="B35" s="266"/>
      <c r="C35" s="267"/>
      <c r="D35" s="59"/>
      <c r="E35" s="73" t="s">
        <v>64</v>
      </c>
      <c r="F35" s="73" t="s">
        <v>544</v>
      </c>
      <c r="G35" s="268" t="s">
        <v>545</v>
      </c>
      <c r="H35" s="59"/>
      <c r="I35" s="56"/>
      <c r="J35" s="56"/>
      <c r="K35" s="56"/>
      <c r="L35" s="79"/>
      <c r="M35" s="56"/>
    </row>
    <row r="36" spans="1:14" s="29" customFormat="1" x14ac:dyDescent="0.2">
      <c r="A36" s="229" t="s">
        <v>542</v>
      </c>
      <c r="B36" s="56"/>
      <c r="C36" s="269"/>
      <c r="D36" s="56"/>
      <c r="E36" s="270">
        <f>+F25*19%</f>
        <v>29583000</v>
      </c>
      <c r="F36" s="271">
        <v>24567000</v>
      </c>
      <c r="G36" s="271">
        <f>+E36-F36</f>
        <v>5016000</v>
      </c>
      <c r="H36" s="56"/>
      <c r="I36" s="56"/>
      <c r="J36" s="56"/>
      <c r="K36" s="56"/>
      <c r="L36" s="56"/>
      <c r="M36" s="56"/>
    </row>
    <row r="37" spans="1:14" s="29" customFormat="1" x14ac:dyDescent="0.2">
      <c r="A37" s="229" t="s">
        <v>543</v>
      </c>
      <c r="B37" s="56"/>
      <c r="C37" s="269"/>
      <c r="D37" s="56"/>
      <c r="E37" s="230">
        <f>+F30*19%</f>
        <v>41610000</v>
      </c>
      <c r="F37" s="231">
        <f>+E37</f>
        <v>41610000</v>
      </c>
      <c r="G37" s="231">
        <f>+E37-F37</f>
        <v>0</v>
      </c>
      <c r="H37" s="56"/>
      <c r="I37" s="56"/>
      <c r="J37" s="56"/>
      <c r="K37" s="56"/>
      <c r="L37" s="56"/>
      <c r="M37" s="56"/>
    </row>
    <row r="38" spans="1:14" s="29" customFormat="1" x14ac:dyDescent="0.2">
      <c r="A38" s="239" t="s">
        <v>429</v>
      </c>
      <c r="B38" s="272"/>
      <c r="C38" s="273"/>
      <c r="D38" s="58"/>
      <c r="E38" s="274">
        <f>SUM(E36:E37)</f>
        <v>71193000</v>
      </c>
      <c r="F38" s="274">
        <f>SUM(F36:F37)</f>
        <v>66177000</v>
      </c>
      <c r="G38" s="274">
        <f>SUM(G36:G37)</f>
        <v>5016000</v>
      </c>
      <c r="H38" s="56"/>
      <c r="I38" s="56"/>
      <c r="J38" s="56"/>
      <c r="K38" s="56"/>
      <c r="L38" s="56"/>
      <c r="M38" s="56"/>
    </row>
    <row r="39" spans="1:14" s="29" customForma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</row>
    <row r="40" spans="1:14" s="29" customFormat="1" x14ac:dyDescent="0.2">
      <c r="A40" s="56" t="s">
        <v>557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</row>
    <row r="41" spans="1:14" s="29" customFormat="1" x14ac:dyDescent="0.2">
      <c r="A41" s="56" t="s">
        <v>558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4" s="29" customFormat="1" x14ac:dyDescent="0.2"/>
    <row r="43" spans="1:14" s="29" customFormat="1" x14ac:dyDescent="0.2"/>
    <row r="44" spans="1:14" s="29" customFormat="1" x14ac:dyDescent="0.2"/>
    <row r="45" spans="1:14" s="29" customFormat="1" x14ac:dyDescent="0.2"/>
    <row r="46" spans="1:14" s="29" customFormat="1" x14ac:dyDescent="0.2"/>
    <row r="47" spans="1:14" s="29" customFormat="1" x14ac:dyDescent="0.2"/>
    <row r="48" spans="1:14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pans="1:13" s="29" customFormat="1" x14ac:dyDescent="0.2"/>
    <row r="66" spans="1:13" s="29" customFormat="1" x14ac:dyDescent="0.2"/>
    <row r="67" spans="1:13" s="29" customFormat="1" x14ac:dyDescent="0.2"/>
    <row r="68" spans="1:13" s="29" customFormat="1" x14ac:dyDescent="0.2"/>
    <row r="69" spans="1:13" s="29" customFormat="1" x14ac:dyDescent="0.2"/>
    <row r="70" spans="1:13" s="29" customFormat="1" x14ac:dyDescent="0.2">
      <c r="B70" s="31"/>
      <c r="C70" s="31"/>
      <c r="D70" s="31"/>
      <c r="E70" s="31"/>
      <c r="F70" s="31"/>
      <c r="G70" s="23"/>
      <c r="H70" s="23"/>
      <c r="I70" s="23"/>
      <c r="J70" s="23"/>
      <c r="K70" s="23"/>
      <c r="L70" s="23"/>
    </row>
    <row r="71" spans="1:13" s="29" customFormat="1" x14ac:dyDescent="0.2">
      <c r="A71" s="31"/>
      <c r="B71" s="31"/>
      <c r="C71" s="31"/>
      <c r="D71" s="31"/>
      <c r="E71" s="31"/>
      <c r="F71" s="31"/>
      <c r="G71" s="23"/>
      <c r="H71" s="23"/>
      <c r="I71" s="23"/>
      <c r="J71" s="23"/>
      <c r="K71" s="23"/>
      <c r="L71" s="23"/>
    </row>
    <row r="72" spans="1:13" s="29" customFormat="1" x14ac:dyDescent="0.2">
      <c r="A72" s="31"/>
      <c r="B72" s="31"/>
      <c r="C72" s="31"/>
      <c r="D72" s="31"/>
      <c r="E72" s="31"/>
      <c r="F72" s="31"/>
      <c r="G72" s="23"/>
      <c r="H72" s="23"/>
      <c r="I72" s="23"/>
      <c r="J72" s="23"/>
      <c r="K72" s="23"/>
      <c r="L72" s="23"/>
    </row>
    <row r="73" spans="1:13" s="29" customFormat="1" x14ac:dyDescent="0.2">
      <c r="A73" s="31"/>
      <c r="B73" s="31"/>
      <c r="C73" s="31"/>
      <c r="D73" s="31"/>
      <c r="E73" s="31"/>
      <c r="F73" s="31"/>
      <c r="G73" s="23"/>
      <c r="H73" s="23"/>
      <c r="I73" s="23"/>
      <c r="J73" s="23"/>
      <c r="K73" s="23"/>
      <c r="L73" s="23"/>
    </row>
    <row r="74" spans="1:13" s="29" customFormat="1" x14ac:dyDescent="0.2">
      <c r="A74" s="31"/>
      <c r="B74" s="31"/>
      <c r="C74" s="31"/>
      <c r="D74" s="31"/>
      <c r="E74" s="31"/>
      <c r="F74" s="31"/>
      <c r="G74" s="23"/>
      <c r="H74" s="23"/>
      <c r="I74" s="23"/>
      <c r="J74" s="23"/>
      <c r="K74" s="23"/>
      <c r="L74" s="23"/>
      <c r="M74" s="25"/>
    </row>
    <row r="75" spans="1:13" s="29" customFormat="1" x14ac:dyDescent="0.2">
      <c r="A75" s="31"/>
      <c r="B75" s="31"/>
      <c r="C75" s="31"/>
      <c r="D75" s="31"/>
      <c r="E75" s="31"/>
      <c r="F75" s="31"/>
      <c r="G75" s="5"/>
      <c r="H75" s="23"/>
      <c r="I75" s="23"/>
      <c r="J75" s="23"/>
      <c r="K75" s="23"/>
      <c r="L75" s="23"/>
      <c r="M75" s="25"/>
    </row>
    <row r="76" spans="1:13" s="23" customFormat="1" x14ac:dyDescent="0.2">
      <c r="A76" s="31"/>
      <c r="B76" s="31"/>
      <c r="C76" s="31"/>
      <c r="D76" s="31"/>
      <c r="E76" s="31"/>
      <c r="F76" s="31"/>
      <c r="M76" s="25"/>
    </row>
    <row r="77" spans="1:13" s="23" customFormat="1" ht="11.25" x14ac:dyDescent="0.2">
      <c r="M77" s="25"/>
    </row>
    <row r="78" spans="1:13" s="23" customFormat="1" x14ac:dyDescent="0.2">
      <c r="A78" s="31"/>
      <c r="H78" s="24"/>
      <c r="I78" s="24"/>
      <c r="J78" s="24"/>
      <c r="K78" s="24"/>
      <c r="L78" s="24"/>
      <c r="M78" s="25"/>
    </row>
    <row r="79" spans="1:13" s="23" customFormat="1" x14ac:dyDescent="0.2">
      <c r="A79" s="31"/>
      <c r="H79" s="31"/>
      <c r="I79" s="31"/>
      <c r="J79" s="31"/>
      <c r="K79" s="31"/>
      <c r="L79" s="31"/>
      <c r="M79" s="25"/>
    </row>
    <row r="80" spans="1:13" s="23" customFormat="1" x14ac:dyDescent="0.2">
      <c r="H80" s="31"/>
      <c r="I80" s="31"/>
      <c r="J80" s="31"/>
      <c r="K80" s="31"/>
      <c r="L80" s="31"/>
      <c r="M80" s="25"/>
    </row>
    <row r="81" spans="1:13" s="23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25"/>
    </row>
    <row r="82" spans="1:13" s="23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25"/>
    </row>
    <row r="83" spans="1:13" s="23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2"/>
    </row>
    <row r="84" spans="1:13" s="23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2"/>
    </row>
    <row r="85" spans="1:13" s="23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25"/>
    </row>
    <row r="86" spans="1:13" s="23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25"/>
    </row>
    <row r="87" spans="1:13" s="23" customFormat="1" x14ac:dyDescent="0.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25"/>
    </row>
    <row r="88" spans="1:13" s="23" customFormat="1" x14ac:dyDescent="0.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25"/>
    </row>
    <row r="89" spans="1:13" s="23" customFormat="1" x14ac:dyDescent="0.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25"/>
    </row>
    <row r="90" spans="1:13" s="23" customFormat="1" x14ac:dyDescent="0.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25"/>
    </row>
    <row r="91" spans="1:13" s="23" customFormat="1" x14ac:dyDescent="0.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25"/>
    </row>
    <row r="92" spans="1:13" s="23" customFormat="1" x14ac:dyDescent="0.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25"/>
    </row>
    <row r="93" spans="1:13" s="5" customFormat="1" x14ac:dyDescent="0.2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25"/>
    </row>
    <row r="94" spans="1:13" s="23" customFormat="1" x14ac:dyDescent="0.2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25"/>
    </row>
    <row r="95" spans="1:13" s="23" customFormat="1" x14ac:dyDescent="0.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8"/>
    </row>
    <row r="96" spans="1:13" s="23" customFormat="1" x14ac:dyDescent="0.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25"/>
    </row>
    <row r="97" spans="1:13" s="23" customFormat="1" x14ac:dyDescent="0.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25"/>
    </row>
    <row r="98" spans="1:13" s="23" customFormat="1" x14ac:dyDescent="0.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25"/>
    </row>
    <row r="99" spans="1:13" s="23" customFormat="1" x14ac:dyDescent="0.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25"/>
    </row>
    <row r="100" spans="1:13" s="23" customFormat="1" x14ac:dyDescent="0.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25"/>
    </row>
    <row r="101" spans="1:13" s="23" customFormat="1" x14ac:dyDescent="0.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25"/>
    </row>
    <row r="102" spans="1:13" s="23" customFormat="1" x14ac:dyDescent="0.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25"/>
    </row>
    <row r="103" spans="1:13" s="23" customFormat="1" x14ac:dyDescent="0.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25"/>
    </row>
    <row r="104" spans="1:13" s="23" customFormat="1" x14ac:dyDescent="0.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25"/>
    </row>
    <row r="105" spans="1:13" s="23" customFormat="1" x14ac:dyDescent="0.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25"/>
    </row>
    <row r="106" spans="1:13" s="23" customFormat="1" x14ac:dyDescent="0.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25"/>
    </row>
    <row r="107" spans="1:13" s="23" customForma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25"/>
    </row>
    <row r="108" spans="1:13" s="23" customFormat="1" x14ac:dyDescent="0.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25"/>
    </row>
    <row r="109" spans="1:13" s="23" customFormat="1" x14ac:dyDescent="0.2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25"/>
    </row>
    <row r="110" spans="1:13" s="23" customFormat="1" x14ac:dyDescent="0.2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25"/>
    </row>
    <row r="111" spans="1:13" s="23" customFormat="1" x14ac:dyDescent="0.2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25"/>
    </row>
    <row r="112" spans="1:13" s="23" customFormat="1" x14ac:dyDescent="0.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25"/>
    </row>
    <row r="113" spans="1:13" s="23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25"/>
    </row>
    <row r="114" spans="1:13" s="23" customFormat="1" x14ac:dyDescent="0.2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25"/>
    </row>
    <row r="115" spans="1:13" s="23" customForma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25"/>
    </row>
    <row r="116" spans="1:13" s="23" customFormat="1" x14ac:dyDescent="0.2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25"/>
    </row>
    <row r="117" spans="1:13" s="23" customFormat="1" x14ac:dyDescent="0.2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25"/>
    </row>
    <row r="118" spans="1:13" s="23" customFormat="1" x14ac:dyDescent="0.2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25"/>
    </row>
    <row r="119" spans="1:13" s="23" customFormat="1" x14ac:dyDescent="0.2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25"/>
    </row>
    <row r="120" spans="1:13" x14ac:dyDescent="0.2">
      <c r="M120" s="25"/>
    </row>
    <row r="121" spans="1:13" x14ac:dyDescent="0.2">
      <c r="M121" s="25"/>
    </row>
    <row r="122" spans="1:13" x14ac:dyDescent="0.2">
      <c r="A122" s="33"/>
    </row>
    <row r="128" spans="1:13" x14ac:dyDescent="0.2">
      <c r="M128" s="31"/>
    </row>
    <row r="129" spans="13:13" x14ac:dyDescent="0.2">
      <c r="M129" s="31"/>
    </row>
    <row r="130" spans="13:13" x14ac:dyDescent="0.2">
      <c r="M130" s="31"/>
    </row>
    <row r="131" spans="13:13" x14ac:dyDescent="0.2">
      <c r="M131" s="31"/>
    </row>
    <row r="132" spans="13:13" x14ac:dyDescent="0.2">
      <c r="M132" s="31"/>
    </row>
    <row r="133" spans="13:13" x14ac:dyDescent="0.2">
      <c r="M133" s="31"/>
    </row>
    <row r="134" spans="13:13" x14ac:dyDescent="0.2">
      <c r="M134" s="31"/>
    </row>
    <row r="135" spans="13:13" x14ac:dyDescent="0.2">
      <c r="M135" s="31"/>
    </row>
    <row r="136" spans="13:13" x14ac:dyDescent="0.2">
      <c r="M136" s="31"/>
    </row>
    <row r="137" spans="13:13" x14ac:dyDescent="0.2">
      <c r="M137" s="31"/>
    </row>
    <row r="138" spans="13:13" x14ac:dyDescent="0.2">
      <c r="M138" s="31"/>
    </row>
    <row r="139" spans="13:13" x14ac:dyDescent="0.2">
      <c r="M139" s="31"/>
    </row>
    <row r="140" spans="13:13" x14ac:dyDescent="0.2">
      <c r="M140" s="31"/>
    </row>
    <row r="141" spans="13:13" ht="12.75" customHeight="1" x14ac:dyDescent="0.2">
      <c r="M141" s="31"/>
    </row>
    <row r="142" spans="13:13" ht="12.75" customHeight="1" x14ac:dyDescent="0.2">
      <c r="M142" s="31"/>
    </row>
    <row r="143" spans="13:13" ht="12.75" customHeight="1" x14ac:dyDescent="0.2">
      <c r="M143" s="31"/>
    </row>
    <row r="144" spans="13:13" x14ac:dyDescent="0.2">
      <c r="M144" s="31"/>
    </row>
    <row r="145" spans="1:13" x14ac:dyDescent="0.2">
      <c r="M145" s="31"/>
    </row>
    <row r="146" spans="1:13" x14ac:dyDescent="0.2">
      <c r="M146" s="31"/>
    </row>
    <row r="147" spans="1:13" x14ac:dyDescent="0.2">
      <c r="M147" s="31"/>
    </row>
    <row r="148" spans="1:13" x14ac:dyDescent="0.2">
      <c r="M148" s="31"/>
    </row>
    <row r="149" spans="1:13" x14ac:dyDescent="0.2">
      <c r="M149" s="31"/>
    </row>
    <row r="150" spans="1:13" x14ac:dyDescent="0.2">
      <c r="M150" s="31"/>
    </row>
    <row r="151" spans="1:13" x14ac:dyDescent="0.2">
      <c r="M151" s="31"/>
    </row>
    <row r="152" spans="1:13" x14ac:dyDescent="0.2">
      <c r="M152" s="31"/>
    </row>
    <row r="153" spans="1:13" x14ac:dyDescent="0.2">
      <c r="M153" s="31"/>
    </row>
    <row r="154" spans="1:13" x14ac:dyDescent="0.2">
      <c r="M154" s="31"/>
    </row>
    <row r="155" spans="1:13" x14ac:dyDescent="0.2">
      <c r="M155" s="31"/>
    </row>
    <row r="156" spans="1:13" x14ac:dyDescent="0.2">
      <c r="M156" s="31"/>
    </row>
    <row r="157" spans="1:13" x14ac:dyDescent="0.2">
      <c r="M157" s="31"/>
    </row>
    <row r="158" spans="1:13" x14ac:dyDescent="0.2">
      <c r="M158" s="31"/>
    </row>
    <row r="159" spans="1:13" s="23" customFormat="1" x14ac:dyDescent="0.2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</row>
    <row r="160" spans="1:13" s="23" customFormat="1" x14ac:dyDescent="0.2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</row>
    <row r="161" spans="1:13" s="23" customFormat="1" x14ac:dyDescent="0.2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</row>
    <row r="162" spans="1:13" s="23" customFormat="1" x14ac:dyDescent="0.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</row>
    <row r="163" spans="1:13" s="23" customFormat="1" x14ac:dyDescent="0.2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</row>
    <row r="164" spans="1:13" s="5" customFormat="1" x14ac:dyDescent="0.2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</row>
    <row r="165" spans="1:13" s="23" customFormat="1" x14ac:dyDescent="0.2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</row>
    <row r="166" spans="1:13" s="23" customFormat="1" x14ac:dyDescent="0.2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</row>
    <row r="167" spans="1:13" s="23" customFormat="1" x14ac:dyDescent="0.2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s="23" customFormat="1" x14ac:dyDescent="0.2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</row>
    <row r="169" spans="1:13" s="23" customFormat="1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</row>
    <row r="170" spans="1:13" s="23" customFormat="1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</row>
    <row r="171" spans="1:13" s="23" customFormat="1" x14ac:dyDescent="0.2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</row>
    <row r="172" spans="1:13" s="23" customFormat="1" x14ac:dyDescent="0.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</row>
    <row r="173" spans="1:13" s="23" customFormat="1" x14ac:dyDescent="0.2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</row>
    <row r="174" spans="1:13" s="23" customFormat="1" x14ac:dyDescent="0.2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</row>
    <row r="175" spans="1:13" s="23" customFormat="1" x14ac:dyDescent="0.2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</row>
    <row r="176" spans="1:13" s="23" customForma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</row>
    <row r="177" spans="1:13" s="23" customFormat="1" x14ac:dyDescent="0.2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</row>
    <row r="178" spans="1:13" s="23" customFormat="1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">
      <c r="A179" s="23"/>
      <c r="B179" s="23"/>
      <c r="C179" s="23"/>
      <c r="D179" s="23"/>
      <c r="E179" s="23"/>
      <c r="F179" s="23"/>
      <c r="G179" s="23"/>
      <c r="M179" s="31"/>
    </row>
    <row r="180" spans="1:13" x14ac:dyDescent="0.2">
      <c r="A180" s="23"/>
      <c r="B180" s="23"/>
      <c r="C180" s="23"/>
      <c r="D180" s="23"/>
      <c r="E180" s="23"/>
      <c r="F180" s="23"/>
      <c r="G180" s="23"/>
      <c r="M180" s="31"/>
    </row>
    <row r="181" spans="1:13" x14ac:dyDescent="0.2">
      <c r="M181" s="31"/>
    </row>
    <row r="182" spans="1:13" x14ac:dyDescent="0.2">
      <c r="M182" s="31"/>
    </row>
  </sheetData>
  <sheetProtection algorithmName="SHA-512" hashValue="qPxYJpgczof9loLGf0VtjReg7TO57pC4qkOx6qrHmh2ORIsg82vhfstafdLXeFy8JPxDsXJVY/2ovRQguFPC6g==" saltValue="UmXjIbdEsQqXwvH6yK/1lg==" spinCount="100000" sheet="1" objects="1" scenarios="1"/>
  <mergeCells count="2">
    <mergeCell ref="A7:B7"/>
    <mergeCell ref="E6:G6"/>
  </mergeCells>
  <phoneticPr fontId="7" type="noConversion"/>
  <printOptions horizontalCentered="1" verticalCentered="1"/>
  <pageMargins left="0.39370078740157483" right="0.39370078740157483" top="0.78740157480314965" bottom="0.78740157480314965" header="0" footer="0"/>
  <pageSetup scale="97" orientation="landscape" horizontalDpi="360" verticalDpi="360" r:id="rId1"/>
  <headerFooter alignWithMargins="0">
    <oddHeader xml:space="preserve">&amp;C </oddHeader>
    <oddFooter xml:space="preserve">&amp;C </oddFooter>
  </headerFooter>
  <rowBreaks count="1" manualBreakCount="1">
    <brk id="192" max="65535" man="1"/>
  </rowBreaks>
  <ignoredErrors>
    <ignoredError sqref="A1:L2 A26:L28 A25:F25 G25:L25 A31:L32 A30:E30 F30:L30 A18:L24 B17:E17 B16:H16 I16:L16 A34:L34 G17:L17 A29:B29 D29:L29 A33:D33 H33 E33:G33 I33:L33 B35:D35 A39:L39 B36:D36 H36:L36 H35:L35 B37:D37 B38:D38 H37:L37 A42:L44 B40:L40 H38:L38 E36:G38 B41:L41 A5:L15 B4:L4 A3:J3 L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ANEXOS</vt:lpstr>
      <vt:lpstr>1. PATRIM FISCAL</vt:lpstr>
      <vt:lpstr>CONCIPATRIM</vt:lpstr>
      <vt:lpstr>2. RENTA FISCAL</vt:lpstr>
      <vt:lpstr>CONCIRENTA</vt:lpstr>
      <vt:lpstr>3. VR A PAGAR</vt:lpstr>
      <vt:lpstr>4. CDT - CxC</vt:lpstr>
      <vt:lpstr>6. INVERSIONES</vt:lpstr>
      <vt:lpstr>7. PPyE</vt:lpstr>
      <vt:lpstr>8. DEPRECIACIÓN</vt:lpstr>
      <vt:lpstr>9. VTA ACT FIJOS</vt:lpstr>
      <vt:lpstr>10. INGRESOS</vt:lpstr>
      <vt:lpstr>13. LABORALES - INTS</vt:lpstr>
      <vt:lpstr>15. EFECTIVO - EXT</vt:lpstr>
      <vt:lpstr>17. TTD - ANTICIPO</vt:lpstr>
      <vt:lpstr>'1. PATRIM FISCAL'!Área_de_impresión</vt:lpstr>
      <vt:lpstr>'15. EFECTIVO - EXT'!Área_de_impresión</vt:lpstr>
      <vt:lpstr>'2. RENTA FISCAL'!Área_de_impresión</vt:lpstr>
      <vt:lpstr>'3. VR A PAGAR'!Área_de_impresión</vt:lpstr>
      <vt:lpstr>'7. PPyE'!Área_de_impresión</vt:lpstr>
      <vt:lpstr>CONCIRENTA!Área_de_impresión</vt:lpstr>
      <vt:lpstr>'2. RENTA FISCAL'!Títulos_a_imprimir</vt:lpstr>
      <vt:lpstr>'3. VR A PAGAR'!Títulos_a_imprimir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pygind97</dc:title>
  <dc:creator>KPMG PEAT MARWICK</dc:creator>
  <cp:lastModifiedBy>Alberto Valencia Casallas</cp:lastModifiedBy>
  <cp:lastPrinted>2025-03-11T18:55:46Z</cp:lastPrinted>
  <dcterms:created xsi:type="dcterms:W3CDTF">1999-06-12T20:24:52Z</dcterms:created>
  <dcterms:modified xsi:type="dcterms:W3CDTF">2025-03-12T02:49:49Z</dcterms:modified>
</cp:coreProperties>
</file>