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berto - Parte 1\Impuestos\Ejercicios\Renta 2024\Renta 2024 PN\Renta 2024 PN Bogotá\"/>
    </mc:Choice>
  </mc:AlternateContent>
  <xr:revisionPtr revIDLastSave="0" documentId="13_ncr:1_{E90EA72D-1DDE-42FF-BA04-2939BB978E42}" xr6:coauthVersionLast="47" xr6:coauthVersionMax="47" xr10:uidLastSave="{00000000-0000-0000-0000-000000000000}"/>
  <bookViews>
    <workbookView xWindow="-120" yWindow="-120" windowWidth="20730" windowHeight="11040" tabRatio="607" activeTab="1" xr2:uid="{00000000-000D-0000-FFFF-FFFF00000000}"/>
  </bookViews>
  <sheets>
    <sheet name="ANEXOS - TABLA" sheetId="12" r:id="rId1"/>
    <sheet name="1. Patrimonio - 2. CxC" sheetId="4" r:id="rId2"/>
    <sheet name="3. Inversiones" sheetId="5" r:id="rId3"/>
    <sheet name="4. Activos Fijos" sheetId="6" r:id="rId4"/>
    <sheet name="5. Trabajo" sheetId="30" r:id="rId5"/>
    <sheet name="6. Cap y No Lab" sheetId="32" r:id="rId6"/>
    <sheet name="7. Cédula Gral" sheetId="36" r:id="rId7"/>
    <sheet name="8. Otras cédulas - 9. G.O." sheetId="33" r:id="rId8"/>
    <sheet name="10. Impto - Pago" sheetId="3" r:id="rId9"/>
    <sheet name="11. Anticipo - 12. Act Ext" sheetId="37" r:id="rId10"/>
  </sheets>
  <externalReferences>
    <externalReference r:id="rId11"/>
    <externalReference r:id="rId12"/>
    <externalReference r:id="rId13"/>
    <externalReference r:id="rId14"/>
  </externalReferences>
  <definedNames>
    <definedName name="ANEXOS" localSheetId="9">#REF!</definedName>
    <definedName name="ANEXOS" localSheetId="4">#REF!</definedName>
    <definedName name="ANEXOS" localSheetId="5">#REF!</definedName>
    <definedName name="ANEXOS" localSheetId="7">#REF!</definedName>
    <definedName name="ANEXOS">#REF!</definedName>
    <definedName name="ANEXOS4" localSheetId="9">#REF!</definedName>
    <definedName name="ANEXOS4" localSheetId="4">#REF!</definedName>
    <definedName name="ANEXOS4" localSheetId="5">#REF!</definedName>
    <definedName name="ANEXOS4" localSheetId="7">#REF!</definedName>
    <definedName name="ANEXOS4">#REF!</definedName>
    <definedName name="anticipanteriorA">'[1]1A- DATOS INICIALES'!$C$75</definedName>
    <definedName name="anticipoC">'[1]4 CÁLCULOS PRESUNT-ANTICIP.'!$D$45</definedName>
    <definedName name="_xlnm.Print_Area" localSheetId="8">'10. Impto - Pago'!$A$1:$G$88</definedName>
    <definedName name="_xlnm.Print_Area" localSheetId="4">'5. Trabajo'!$A$1:$J$67</definedName>
    <definedName name="_xlnm.Print_Area" localSheetId="5">'6. Cap y No Lab'!$A$1:$J$61</definedName>
    <definedName name="_xlnm.Print_Area" localSheetId="7">'8. Otras cédulas - 9. G.O.'!$A$1:$G$74</definedName>
    <definedName name="_xlnm.Print_Area" localSheetId="0">'ANEXOS - TABLA'!$A$1:$G$43</definedName>
    <definedName name="BALANCE1" localSheetId="9">#REF!</definedName>
    <definedName name="BALANCE1" localSheetId="4">#REF!</definedName>
    <definedName name="BALANCE1" localSheetId="5">#REF!</definedName>
    <definedName name="BALANCE1" localSheetId="7">#REF!</definedName>
    <definedName name="BALANCE1">#REF!</definedName>
    <definedName name="D" localSheetId="9">#REF!</definedName>
    <definedName name="D" localSheetId="4">#REF!</definedName>
    <definedName name="D" localSheetId="5">#REF!</definedName>
    <definedName name="D" localSheetId="7">#REF!</definedName>
    <definedName name="D">#REF!</definedName>
    <definedName name="ESTADO" localSheetId="9">#REF!</definedName>
    <definedName name="ESTADO" localSheetId="4">#REF!</definedName>
    <definedName name="ESTADO" localSheetId="5">#REF!</definedName>
    <definedName name="ESTADO" localSheetId="7">#REF!</definedName>
    <definedName name="ESTADO">#REF!</definedName>
    <definedName name="IMP" localSheetId="9">#REF!</definedName>
    <definedName name="IMP" localSheetId="4">#REF!</definedName>
    <definedName name="IMP" localSheetId="5">#REF!</definedName>
    <definedName name="IMP" localSheetId="7">#REF!</definedName>
    <definedName name="IMP">#REF!</definedName>
    <definedName name="ING" localSheetId="9">#REF!</definedName>
    <definedName name="ING" localSheetId="4">#REF!</definedName>
    <definedName name="ING" localSheetId="5">#REF!</definedName>
    <definedName name="ING" localSheetId="7">#REF!</definedName>
    <definedName name="ING">#REF!</definedName>
    <definedName name="pagosB">'[1]1A- DATOS INICIALES'!$E$112</definedName>
    <definedName name="pagosF">'[1]1A- DATOS INICIALES'!$E$116</definedName>
    <definedName name="PAT" localSheetId="9">#REF!</definedName>
    <definedName name="PAT" localSheetId="4">#REF!</definedName>
    <definedName name="PAT" localSheetId="5">#REF!</definedName>
    <definedName name="PAT" localSheetId="7">#REF!</definedName>
    <definedName name="PAT">#REF!</definedName>
    <definedName name="rlíquidaB" localSheetId="9">#REF!</definedName>
    <definedName name="rlíquidaB" localSheetId="4">#REF!</definedName>
    <definedName name="rlíquidaB" localSheetId="5">#REF!</definedName>
    <definedName name="rlíquidaB" localSheetId="7">#REF!</definedName>
    <definedName name="rlíquidaB">#REF!</definedName>
    <definedName name="RUTH">[2]FORMULARIO!$R$22</definedName>
    <definedName name="sanciones4">'[1]1A- DATOS INICIALES'!$E$115</definedName>
    <definedName name="Tabla1">[3]Cta5105!$A$587:$G$611</definedName>
    <definedName name="Tabla2">[3]Cta5205!$A$1775:$G$1799</definedName>
    <definedName name="Tabla3">[3]Cta7305!$A$89:$G$143</definedName>
    <definedName name="Tabla4">[4]CtaContables!$A$658:$G$686</definedName>
    <definedName name="_xlnm.Print_Titles" localSheetId="8">'10. Impto - Pago'!$1:$7</definedName>
    <definedName name="_xlnm.Print_Titles" localSheetId="4">'5. Trabajo'!$1:$8</definedName>
    <definedName name="_xlnm.Print_Titles" localSheetId="5">'6. Cap y No Lab'!$1:$8</definedName>
    <definedName name="_xlnm.Print_Titles" localSheetId="7">'8. Otras cédulas - 9. G.O.'!$1:$7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33" l="1"/>
  <c r="H16" i="36" l="1"/>
  <c r="G16" i="36"/>
  <c r="F16" i="36"/>
  <c r="D34" i="3" l="1"/>
  <c r="F35" i="33"/>
  <c r="H35" i="36"/>
  <c r="E39" i="32"/>
  <c r="F25" i="5"/>
  <c r="E10" i="4"/>
  <c r="D48" i="32"/>
  <c r="D12" i="30"/>
  <c r="D11" i="30"/>
  <c r="D25" i="32"/>
  <c r="H15" i="32"/>
  <c r="H29" i="32" s="1"/>
  <c r="D14" i="32"/>
  <c r="G10" i="6"/>
  <c r="D10" i="6"/>
  <c r="H31" i="37"/>
  <c r="D20" i="3"/>
  <c r="E19" i="3" s="1"/>
  <c r="F77" i="3"/>
  <c r="H36" i="36" s="1"/>
  <c r="E36" i="3"/>
  <c r="H22" i="36"/>
  <c r="H31" i="36" s="1"/>
  <c r="D58" i="33"/>
  <c r="D69" i="33" s="1"/>
  <c r="H29" i="37" l="1"/>
  <c r="E31" i="32"/>
  <c r="D51" i="30"/>
  <c r="D50" i="30"/>
  <c r="H36" i="30"/>
  <c r="D35" i="30"/>
  <c r="B3" i="37" l="1"/>
  <c r="B2" i="37"/>
  <c r="B24" i="37" s="1"/>
  <c r="B1" i="37"/>
  <c r="B23" i="37" s="1"/>
  <c r="F43" i="6" l="1"/>
  <c r="D15" i="4"/>
  <c r="D16" i="4"/>
  <c r="I47" i="30"/>
  <c r="G10" i="36"/>
  <c r="H10" i="36" s="1"/>
  <c r="G26" i="36"/>
  <c r="G25" i="36"/>
  <c r="I51" i="32"/>
  <c r="I47" i="32"/>
  <c r="I43" i="32"/>
  <c r="I22" i="32"/>
  <c r="J55" i="32"/>
  <c r="J57" i="32" s="1"/>
  <c r="J58" i="32" s="1"/>
  <c r="J60" i="32" s="1"/>
  <c r="G45" i="36" s="1"/>
  <c r="J20" i="32"/>
  <c r="J22" i="32" s="1"/>
  <c r="J31" i="32" s="1"/>
  <c r="J37" i="32" s="1"/>
  <c r="J39" i="32" s="1"/>
  <c r="E43" i="32"/>
  <c r="D52" i="32" s="1"/>
  <c r="F25" i="36" s="1"/>
  <c r="G11" i="36" l="1"/>
  <c r="D18" i="4"/>
  <c r="F44" i="6"/>
  <c r="I49" i="30"/>
  <c r="E49" i="30"/>
  <c r="I38" i="30"/>
  <c r="I34" i="30"/>
  <c r="D39" i="30"/>
  <c r="D61" i="3"/>
  <c r="I24" i="30"/>
  <c r="I10" i="30"/>
  <c r="E9" i="36" s="1"/>
  <c r="E15" i="36" l="1"/>
  <c r="I43" i="30"/>
  <c r="H58" i="30" s="1"/>
  <c r="I54" i="30"/>
  <c r="H59" i="30" s="1"/>
  <c r="E26" i="36" s="1"/>
  <c r="E54" i="30"/>
  <c r="D59" i="30" s="1"/>
  <c r="D26" i="36" s="1"/>
  <c r="J18" i="30"/>
  <c r="J24" i="30" s="1"/>
  <c r="J30" i="30" s="1"/>
  <c r="J34" i="30" s="1"/>
  <c r="J38" i="30" s="1"/>
  <c r="J43" i="30" s="1"/>
  <c r="J47" i="30" s="1"/>
  <c r="J49" i="30" s="1"/>
  <c r="J54" i="30" s="1"/>
  <c r="J56" i="30" s="1"/>
  <c r="J61" i="30" s="1"/>
  <c r="J62" i="30" s="1"/>
  <c r="J63" i="30" s="1"/>
  <c r="J65" i="30" s="1"/>
  <c r="E25" i="36" l="1"/>
  <c r="I56" i="30"/>
  <c r="F9" i="37"/>
  <c r="F15" i="36" l="1"/>
  <c r="B3" i="36"/>
  <c r="B2" i="36"/>
  <c r="B1" i="36"/>
  <c r="D24" i="32"/>
  <c r="D23" i="32"/>
  <c r="E22" i="32" s="1"/>
  <c r="E34" i="30" l="1"/>
  <c r="G17" i="3" l="1"/>
  <c r="G12" i="33"/>
  <c r="G13" i="33" s="1"/>
  <c r="G14" i="33" s="1"/>
  <c r="G16" i="33" s="1"/>
  <c r="G22" i="33" s="1"/>
  <c r="G26" i="33" s="1"/>
  <c r="G28" i="33" s="1"/>
  <c r="G30" i="33" s="1"/>
  <c r="G33" i="33" s="1"/>
  <c r="G35" i="33" s="1"/>
  <c r="G38" i="33" s="1"/>
  <c r="G42" i="33" s="1"/>
  <c r="G54" i="33" s="1"/>
  <c r="G61" i="33" s="1"/>
  <c r="F13" i="33"/>
  <c r="F16" i="33" s="1"/>
  <c r="G46" i="36"/>
  <c r="G47" i="36" s="1"/>
  <c r="G49" i="36" s="1"/>
  <c r="G50" i="36" s="1"/>
  <c r="G51" i="36" s="1"/>
  <c r="G53" i="36" s="1"/>
  <c r="G55" i="36" s="1"/>
  <c r="F22" i="32"/>
  <c r="F31" i="32" s="1"/>
  <c r="F37" i="32" s="1"/>
  <c r="F39" i="32" s="1"/>
  <c r="F55" i="32" s="1"/>
  <c r="F57" i="32" s="1"/>
  <c r="F58" i="32" s="1"/>
  <c r="F60" i="32" s="1"/>
  <c r="F18" i="30"/>
  <c r="G44" i="4"/>
  <c r="G46" i="4" s="1"/>
  <c r="G19" i="3" l="1"/>
  <c r="G22" i="3" s="1"/>
  <c r="G28" i="3" s="1"/>
  <c r="G31" i="3" s="1"/>
  <c r="G37" i="5"/>
  <c r="F37" i="6"/>
  <c r="F30" i="30"/>
  <c r="D13" i="6"/>
  <c r="F12" i="5"/>
  <c r="G34" i="3" l="1"/>
  <c r="G36" i="3" s="1"/>
  <c r="G38" i="3" s="1"/>
  <c r="G42" i="3" s="1"/>
  <c r="G44" i="3" s="1"/>
  <c r="G46" i="3" s="1"/>
  <c r="G50" i="3" s="1"/>
  <c r="G52" i="3" s="1"/>
  <c r="G54" i="3" s="1"/>
  <c r="G55" i="3" s="1"/>
  <c r="G57" i="3" s="1"/>
  <c r="G66" i="3" s="1"/>
  <c r="G68" i="3" s="1"/>
  <c r="G70" i="3" s="1"/>
  <c r="G72" i="3" s="1"/>
  <c r="G74" i="3" s="1"/>
  <c r="G76" i="3" s="1"/>
  <c r="G77" i="3" s="1"/>
  <c r="G78" i="3" s="1"/>
  <c r="G79" i="3" s="1"/>
  <c r="G38" i="5"/>
  <c r="F38" i="6"/>
  <c r="G65" i="33"/>
  <c r="F34" i="30"/>
  <c r="F38" i="30" s="1"/>
  <c r="F43" i="30" s="1"/>
  <c r="F47" i="30" s="1"/>
  <c r="F49" i="30" s="1"/>
  <c r="F54" i="30" s="1"/>
  <c r="F56" i="30" s="1"/>
  <c r="F65" i="30" s="1"/>
  <c r="G72" i="33" l="1"/>
  <c r="F39" i="6" s="1"/>
  <c r="G39" i="5"/>
  <c r="D64" i="3" l="1"/>
  <c r="F30" i="33"/>
  <c r="H23" i="6"/>
  <c r="H22" i="30" l="1"/>
  <c r="H21" i="30"/>
  <c r="I18" i="30" l="1"/>
  <c r="I30" i="30" l="1"/>
  <c r="I61" i="30" s="1"/>
  <c r="E11" i="36"/>
  <c r="E13" i="36" s="1"/>
  <c r="E18" i="36" s="1"/>
  <c r="F10" i="12" l="1"/>
  <c r="F11" i="12" s="1"/>
  <c r="C59" i="4"/>
  <c r="B53" i="4"/>
  <c r="B52" i="4"/>
  <c r="B51" i="4"/>
  <c r="G60" i="4"/>
  <c r="H60" i="4" s="1"/>
  <c r="G59" i="4"/>
  <c r="H59" i="4" s="1"/>
  <c r="F59" i="4"/>
  <c r="F60" i="4" s="1"/>
  <c r="F62" i="4" s="1"/>
  <c r="D30" i="4" s="1"/>
  <c r="E29" i="4" s="1"/>
  <c r="H62" i="4" l="1"/>
  <c r="D13" i="32" s="1"/>
  <c r="E10" i="32" s="1"/>
  <c r="D23" i="4"/>
  <c r="D22" i="4"/>
  <c r="F40" i="33" l="1"/>
  <c r="D29" i="3"/>
  <c r="E28" i="3" s="1"/>
  <c r="F28" i="3" s="1"/>
  <c r="E20" i="4"/>
  <c r="B47" i="33"/>
  <c r="B48" i="33"/>
  <c r="D67" i="33"/>
  <c r="F26" i="33"/>
  <c r="E47" i="32"/>
  <c r="E34" i="3" l="1"/>
  <c r="D53" i="32"/>
  <c r="E13" i="4"/>
  <c r="D62" i="3"/>
  <c r="E41" i="4"/>
  <c r="E51" i="32" l="1"/>
  <c r="F26" i="36"/>
  <c r="D40" i="30"/>
  <c r="D57" i="30" s="1"/>
  <c r="D33" i="36" s="1"/>
  <c r="H33" i="36" s="1"/>
  <c r="F14" i="6"/>
  <c r="H14" i="6" s="1"/>
  <c r="G25" i="6"/>
  <c r="F25" i="6"/>
  <c r="E25" i="6"/>
  <c r="D25" i="6"/>
  <c r="H13" i="6"/>
  <c r="H33" i="37" s="1"/>
  <c r="H35" i="37" s="1"/>
  <c r="F11" i="5"/>
  <c r="F11" i="36" l="1"/>
  <c r="E10" i="30"/>
  <c r="D20" i="30"/>
  <c r="D19" i="30"/>
  <c r="C23" i="33"/>
  <c r="C31" i="33" s="1"/>
  <c r="C24" i="33"/>
  <c r="E22" i="33"/>
  <c r="F22" i="33" s="1"/>
  <c r="F28" i="33" s="1"/>
  <c r="B3" i="33"/>
  <c r="B2" i="33"/>
  <c r="B1" i="33"/>
  <c r="D9" i="36" l="1"/>
  <c r="F19" i="3"/>
  <c r="F34" i="3"/>
  <c r="E18" i="30"/>
  <c r="D23" i="3"/>
  <c r="D24" i="3" s="1"/>
  <c r="B3" i="32"/>
  <c r="B2" i="32"/>
  <c r="B1" i="32"/>
  <c r="B3" i="30"/>
  <c r="B2" i="30"/>
  <c r="B1" i="30"/>
  <c r="D25" i="3" l="1"/>
  <c r="D26" i="3" s="1"/>
  <c r="E22" i="3" s="1"/>
  <c r="F22" i="3" s="1"/>
  <c r="D39" i="3"/>
  <c r="D40" i="3" s="1"/>
  <c r="E38" i="3" s="1"/>
  <c r="F38" i="3" s="1"/>
  <c r="D41" i="30"/>
  <c r="E38" i="30" s="1"/>
  <c r="E43" i="30" s="1"/>
  <c r="D58" i="30" s="1"/>
  <c r="D25" i="36" s="1"/>
  <c r="D11" i="36"/>
  <c r="H11" i="36" s="1"/>
  <c r="E30" i="30"/>
  <c r="D13" i="36" l="1"/>
  <c r="D18" i="36" s="1"/>
  <c r="E56" i="30" l="1"/>
  <c r="E44" i="4" l="1"/>
  <c r="F27" i="5" l="1"/>
  <c r="E27" i="5"/>
  <c r="D27" i="5"/>
  <c r="G27" i="5" l="1"/>
  <c r="D14" i="5"/>
  <c r="E37" i="5"/>
  <c r="B21" i="5"/>
  <c r="B27" i="5" s="1"/>
  <c r="B19" i="5"/>
  <c r="B35" i="5"/>
  <c r="C30" i="4"/>
  <c r="F10" i="6" l="1"/>
  <c r="B3" i="3" l="1"/>
  <c r="B2" i="3"/>
  <c r="B1" i="3"/>
  <c r="H20" i="6" l="1"/>
  <c r="E20" i="5"/>
  <c r="E21" i="5" s="1"/>
  <c r="E29" i="5" s="1"/>
  <c r="D21" i="5"/>
  <c r="F20" i="5" l="1"/>
  <c r="F21" i="5" s="1"/>
  <c r="G21" i="5" s="1"/>
  <c r="G19" i="5"/>
  <c r="B3" i="6"/>
  <c r="B2" i="6"/>
  <c r="B1" i="6"/>
  <c r="B3" i="5"/>
  <c r="B2" i="5"/>
  <c r="B1" i="5"/>
  <c r="F55" i="3" l="1"/>
  <c r="D16" i="6" l="1"/>
  <c r="D27" i="6" s="1"/>
  <c r="F13" i="5"/>
  <c r="D13" i="5"/>
  <c r="D15" i="5" s="1"/>
  <c r="D29" i="5" s="1"/>
  <c r="G13" i="5" l="1"/>
  <c r="F14" i="5" s="1"/>
  <c r="F15" i="5" s="1"/>
  <c r="F29" i="5" l="1"/>
  <c r="B30" i="12"/>
  <c r="D44" i="6" l="1"/>
  <c r="E44" i="6" s="1"/>
  <c r="H35" i="32" s="1"/>
  <c r="E43" i="6"/>
  <c r="H18" i="32" s="1"/>
  <c r="I10" i="32" s="1"/>
  <c r="H11" i="6"/>
  <c r="F11" i="6" s="1"/>
  <c r="F16" i="6" s="1"/>
  <c r="F27" i="6" s="1"/>
  <c r="G12" i="5"/>
  <c r="G9" i="36" l="1"/>
  <c r="G13" i="36" s="1"/>
  <c r="I31" i="32"/>
  <c r="I37" i="32" s="1"/>
  <c r="I55" i="32" s="1"/>
  <c r="D59" i="3"/>
  <c r="E45" i="6"/>
  <c r="D45" i="6"/>
  <c r="F54" i="3"/>
  <c r="F44" i="4"/>
  <c r="E25" i="4"/>
  <c r="B2" i="4"/>
  <c r="B3" i="4"/>
  <c r="B1" i="4"/>
  <c r="E7" i="6"/>
  <c r="E12" i="6" s="1"/>
  <c r="F37" i="5"/>
  <c r="D55" i="33" s="1"/>
  <c r="H19" i="6"/>
  <c r="H21" i="6"/>
  <c r="H22" i="6"/>
  <c r="G11" i="5"/>
  <c r="G15" i="5" s="1"/>
  <c r="E37" i="6"/>
  <c r="D56" i="33" s="1"/>
  <c r="G16" i="6"/>
  <c r="G27" i="6" s="1"/>
  <c r="G15" i="36" l="1"/>
  <c r="H15" i="36" s="1"/>
  <c r="H25" i="6"/>
  <c r="E54" i="33"/>
  <c r="F54" i="33" s="1"/>
  <c r="E35" i="4"/>
  <c r="F12" i="12"/>
  <c r="F14" i="12" s="1"/>
  <c r="F15" i="12" s="1"/>
  <c r="E16" i="6"/>
  <c r="D38" i="6"/>
  <c r="D39" i="6" s="1"/>
  <c r="H10" i="6"/>
  <c r="G14" i="5"/>
  <c r="D38" i="5" s="1"/>
  <c r="E38" i="5"/>
  <c r="E39" i="5" s="1"/>
  <c r="F38" i="5" s="1"/>
  <c r="H12" i="6"/>
  <c r="G18" i="36" l="1"/>
  <c r="F16" i="12"/>
  <c r="F17" i="12" s="1"/>
  <c r="F19" i="12" s="1"/>
  <c r="F21" i="12" s="1"/>
  <c r="F22" i="12" s="1"/>
  <c r="F24" i="12" s="1"/>
  <c r="D62" i="33"/>
  <c r="E27" i="6"/>
  <c r="F39" i="5"/>
  <c r="D58" i="3"/>
  <c r="E57" i="3" s="1"/>
  <c r="H16" i="6"/>
  <c r="H27" i="6" s="1"/>
  <c r="E38" i="6"/>
  <c r="D63" i="33" s="1"/>
  <c r="E61" i="33" l="1"/>
  <c r="F61" i="33" s="1"/>
  <c r="D66" i="33"/>
  <c r="E65" i="33" s="1"/>
  <c r="F65" i="33" s="1"/>
  <c r="F9" i="36"/>
  <c r="F13" i="36" s="1"/>
  <c r="F18" i="36" s="1"/>
  <c r="E39" i="6"/>
  <c r="E32" i="4"/>
  <c r="E34" i="4"/>
  <c r="E37" i="32" l="1"/>
  <c r="F45" i="36" s="1"/>
  <c r="F72" i="33"/>
  <c r="D47" i="3" s="1"/>
  <c r="D48" i="3" s="1"/>
  <c r="E46" i="3" s="1"/>
  <c r="E37" i="4"/>
  <c r="F37" i="4" s="1"/>
  <c r="H26" i="36" l="1"/>
  <c r="H9" i="36"/>
  <c r="H13" i="36" s="1"/>
  <c r="H25" i="36"/>
  <c r="F46" i="4"/>
  <c r="H21" i="36" l="1"/>
  <c r="H18" i="36"/>
  <c r="H27" i="36"/>
  <c r="E55" i="32"/>
  <c r="H28" i="36" l="1"/>
  <c r="F46" i="3"/>
  <c r="H38" i="36" l="1"/>
  <c r="F46" i="36" s="1"/>
  <c r="F17" i="3"/>
  <c r="F47" i="36" l="1"/>
  <c r="F53" i="36" s="1"/>
  <c r="F42" i="33" s="1"/>
  <c r="F36" i="3"/>
  <c r="F42" i="3" s="1"/>
  <c r="F57" i="3" l="1"/>
  <c r="D12" i="3" l="1"/>
  <c r="D13" i="3" s="1"/>
  <c r="D14" i="3" s="1"/>
  <c r="D15" i="3" s="1"/>
  <c r="E11" i="3" s="1"/>
  <c r="E14" i="37"/>
  <c r="F14" i="37" s="1"/>
  <c r="F55" i="36"/>
  <c r="F11" i="3" l="1"/>
  <c r="F31" i="3" l="1"/>
  <c r="F44" i="3" s="1"/>
  <c r="D85" i="3" l="1"/>
  <c r="D87" i="3" s="1"/>
  <c r="E87" i="3" s="1"/>
  <c r="F52" i="3"/>
  <c r="E10" i="37"/>
  <c r="E11" i="37" s="1"/>
  <c r="E13" i="37" s="1"/>
  <c r="E16" i="37" s="1"/>
  <c r="F10" i="37" l="1"/>
  <c r="F11" i="37" s="1"/>
  <c r="F13" i="37" s="1"/>
  <c r="F16" i="37" s="1"/>
  <c r="E18" i="37" s="1"/>
  <c r="E66" i="3" s="1"/>
  <c r="F66" i="3" s="1"/>
  <c r="F68" i="3" l="1"/>
  <c r="F72" i="3" s="1"/>
  <c r="F74" i="3" s="1"/>
</calcChain>
</file>

<file path=xl/sharedStrings.xml><?xml version="1.0" encoding="utf-8"?>
<sst xmlns="http://schemas.openxmlformats.org/spreadsheetml/2006/main" count="470" uniqueCount="367">
  <si>
    <t>JORGE ENRIQUE CUÉLLAR GARCÍA</t>
  </si>
  <si>
    <t>NIT 79.378.917 - 5</t>
  </si>
  <si>
    <t>DECLARACION DE RENTA AÑO GRAVABLE 2024</t>
  </si>
  <si>
    <t>INDICE DE ANEXOS</t>
  </si>
  <si>
    <t>ANEXO</t>
  </si>
  <si>
    <t>NOMBRE</t>
  </si>
  <si>
    <t>NUMERO</t>
  </si>
  <si>
    <t>DETALLE DEL PATRIMONIO FISCAL</t>
  </si>
  <si>
    <t>CUENTAS POR COBRAR E INTERESES PRESUNTIVOS</t>
  </si>
  <si>
    <t>INVERSIONES EN SOCIEDADES</t>
  </si>
  <si>
    <t>DETALLE FISCAL DE ACTIVOS FIJOS</t>
  </si>
  <si>
    <t>RENTAS DE TRABAJO</t>
  </si>
  <si>
    <t>RENTAS DE CAPITAL Y NO LABORALES</t>
  </si>
  <si>
    <t>CÉDULA GENERAL - LÍMITE DEL 40% O 1.340 UVT</t>
  </si>
  <si>
    <t>CÉDULAS DE PENSIONES Y DIVIDENDOS Y PARTICIPACIONES</t>
  </si>
  <si>
    <t>DETALLE DE GANANCIAS OCASIONALES</t>
  </si>
  <si>
    <t>LIQUIDACIÓN DEL IMPUESTO Y VALOR A PAGAR</t>
  </si>
  <si>
    <t>CALCULO DEL ANTICIPO PARA EL AÑO SIGUIENTE</t>
  </si>
  <si>
    <t>DECLARACIÓN DE ACTIVOS EN EL EXTERIOR</t>
  </si>
  <si>
    <t>VALOR UVT:</t>
  </si>
  <si>
    <t>TABLA DE IMPUESTO PARA PERSONAS NATURALES - ART. 241</t>
  </si>
  <si>
    <t>RANGO UVT</t>
  </si>
  <si>
    <t>TARIFA</t>
  </si>
  <si>
    <t>DESDE</t>
  </si>
  <si>
    <t>HASTA</t>
  </si>
  <si>
    <t>MARGINAL</t>
  </si>
  <si>
    <t>IMPUESTO</t>
  </si>
  <si>
    <t>&gt; 1,090</t>
  </si>
  <si>
    <t>(Renta gravable en UVT - 1,090 UVT) * 19%</t>
  </si>
  <si>
    <t>&gt; 1,700</t>
  </si>
  <si>
    <t>(Renta gravable en UVT - 1,700 UVT) * 28% + 116 UVT</t>
  </si>
  <si>
    <t>&gt; 4,100</t>
  </si>
  <si>
    <t>(Renta gravable en UVT - 4,100 UVT) * 33% + 788 UVT</t>
  </si>
  <si>
    <t>&gt; 8,670</t>
  </si>
  <si>
    <t>(Renta gravable en UVT - 8,670 UVT) * 35% + 2,296 UVT</t>
  </si>
  <si>
    <t>&gt; 18,970</t>
  </si>
  <si>
    <t>(Renta gravable en UVT - 18,970 UVT) * 37% + 5,901 UVT</t>
  </si>
  <si>
    <t>&gt; 31,000</t>
  </si>
  <si>
    <t>En adelante</t>
  </si>
  <si>
    <t>(Renta gravable en UVT - 31,000 UVT) * 39% + 10,352 UVT</t>
  </si>
  <si>
    <t>ANEXO No. 1</t>
  </si>
  <si>
    <t>V/R</t>
  </si>
  <si>
    <t>PARCIAL</t>
  </si>
  <si>
    <t>TOTAL</t>
  </si>
  <si>
    <t>DECLARADO</t>
  </si>
  <si>
    <t>RENGLÓN</t>
  </si>
  <si>
    <t>Efectivo y bancos en el país</t>
  </si>
  <si>
    <t>CDT en Luxemburgo</t>
  </si>
  <si>
    <t>Inversión en cartera colectiva</t>
  </si>
  <si>
    <t>Fondo voluntario de pensiones</t>
  </si>
  <si>
    <t>Saldo a Dic. 31 de 2023</t>
  </si>
  <si>
    <t>Más: Aportes en 2024</t>
  </si>
  <si>
    <t>Menos: Retiro en 2024 sin beneficio</t>
  </si>
  <si>
    <t>Menos: Retiros en 2024 con beneficio</t>
  </si>
  <si>
    <t>Más: Valorización del fondo</t>
  </si>
  <si>
    <t>Fondo de cesantías</t>
  </si>
  <si>
    <t>Más: Consignación en el año</t>
  </si>
  <si>
    <t>Menos: Retiro en el año</t>
  </si>
  <si>
    <t>CDT - Bancolombia</t>
  </si>
  <si>
    <t>Valor inversión</t>
  </si>
  <si>
    <t>Ajuste - Circular 001 de Febrero 12 de 2025</t>
  </si>
  <si>
    <t>Cuentas por cobrar</t>
  </si>
  <si>
    <t>Inversiones en sociedades</t>
  </si>
  <si>
    <t>Bienes inmuebles</t>
  </si>
  <si>
    <t>Otros activos fijos</t>
  </si>
  <si>
    <t>TOTAL PATRIMONIO BRUTO</t>
  </si>
  <si>
    <t>Deudas</t>
  </si>
  <si>
    <t>Tarjeta de crédito</t>
  </si>
  <si>
    <t>Leasing habitacional</t>
  </si>
  <si>
    <t>Deuda con un hermano</t>
  </si>
  <si>
    <t>TOTAL DEUDAS</t>
  </si>
  <si>
    <t>TOTAL PATRIMONIO LIQUIDO</t>
  </si>
  <si>
    <t>ANEXO No. 2</t>
  </si>
  <si>
    <t>AUMENTOS</t>
  </si>
  <si>
    <t>NOMBRE DE LA SOCIEDAD</t>
  </si>
  <si>
    <t>FECHA</t>
  </si>
  <si>
    <t>(ABONOS)</t>
  </si>
  <si>
    <t>SALDO</t>
  </si>
  <si>
    <t>TASA (%)</t>
  </si>
  <si>
    <t>INTERÉS</t>
  </si>
  <si>
    <t xml:space="preserve"> </t>
  </si>
  <si>
    <t>Art. 35 E.T.: Los préstamos en dinero otorgados por las sociedades a los socios, o de estos a la</t>
  </si>
  <si>
    <t>sociedad, generan un interés presuntivo. De acuerdo con el Decreto 1006 de 2024, artículo 1,</t>
  </si>
  <si>
    <t>para el año gravable 2024 la tasa de interés presuntivo es del:</t>
  </si>
  <si>
    <t>ANEXO No. 3</t>
  </si>
  <si>
    <t>REAJUSTE</t>
  </si>
  <si>
    <t>COSTO</t>
  </si>
  <si>
    <t>MOVIMIENTOS</t>
  </si>
  <si>
    <t>CANTIDAD</t>
  </si>
  <si>
    <t>FISCAL</t>
  </si>
  <si>
    <t>UNITARIO</t>
  </si>
  <si>
    <t>Ecopetrol</t>
  </si>
  <si>
    <t>Saldo inical (31-12-23)</t>
  </si>
  <si>
    <t>Adquiridas en Mayo</t>
  </si>
  <si>
    <t>Subtotal</t>
  </si>
  <si>
    <t xml:space="preserve"> ( 1 )</t>
  </si>
  <si>
    <t>Vendidas en Agosto</t>
  </si>
  <si>
    <t>Saldo al 31-12-24</t>
  </si>
  <si>
    <t>García Hermanos S.A.S.</t>
  </si>
  <si>
    <t>Reajuste fiscal del año</t>
  </si>
  <si>
    <t>Inversiones Colón S.A. (Panamá)</t>
  </si>
  <si>
    <t>Acciones compradas en Febrero</t>
  </si>
  <si>
    <t>TOTALES A DICIEMBRE 31</t>
  </si>
  <si>
    <t>VALOR</t>
  </si>
  <si>
    <t>VENTA DE ACCIONES</t>
  </si>
  <si>
    <t>UNIT.</t>
  </si>
  <si>
    <t>Precio de venta</t>
  </si>
  <si>
    <t>Costo fiscal</t>
  </si>
  <si>
    <t>Utilidad / (Pérdida)</t>
  </si>
  <si>
    <t xml:space="preserve"> ( 2 )</t>
  </si>
  <si>
    <r>
      <rPr>
        <b/>
        <sz val="10"/>
        <rFont val="Arial"/>
        <family val="2"/>
      </rPr>
      <t>( 1 )</t>
    </r>
    <r>
      <rPr>
        <sz val="10"/>
        <rFont val="Arial"/>
        <family val="2"/>
      </rPr>
      <t xml:space="preserve">  Cuando el contribuyente tenga acciones de una misma sociedad cuyos costos sean</t>
    </r>
  </si>
  <si>
    <t xml:space="preserve">       diferentes, deberá tomar como costo de venta el promedio de tales costos (E.T. Art. 76).</t>
  </si>
  <si>
    <r>
      <t>( 2 )</t>
    </r>
    <r>
      <rPr>
        <sz val="10"/>
        <rFont val="Arial"/>
        <family val="2"/>
      </rPr>
      <t xml:space="preserve">  Esta venta es ganancia ocasional, ya que las acciones se tuvieron durante más de dos</t>
    </r>
  </si>
  <si>
    <t xml:space="preserve">       años. La utilidad en la venta es ingreso no constitutivo de renta ni ganancia ocasional</t>
  </si>
  <si>
    <t xml:space="preserve">       (E.T. Art. 36-1). No se aceptan pérdidas en la venta de acciones (E.T. Art. 153).</t>
  </si>
  <si>
    <t xml:space="preserve">       </t>
  </si>
  <si>
    <t>ANEXO No. 4</t>
  </si>
  <si>
    <t>COSTO AL</t>
  </si>
  <si>
    <t>OTROS</t>
  </si>
  <si>
    <t>ADICIONES</t>
  </si>
  <si>
    <t>AVALUO</t>
  </si>
  <si>
    <t>TIPO DE ACTIVO</t>
  </si>
  <si>
    <t>31-12-23</t>
  </si>
  <si>
    <t>AJUSTES</t>
  </si>
  <si>
    <t>(RETIROS)</t>
  </si>
  <si>
    <t>31-12-24</t>
  </si>
  <si>
    <t>CATASTRAL</t>
  </si>
  <si>
    <t>BIENES RAÍCES</t>
  </si>
  <si>
    <t>Lote vendido en Octubre</t>
  </si>
  <si>
    <t>Apartamento de habitación</t>
  </si>
  <si>
    <t>Oficina</t>
  </si>
  <si>
    <t>Apartamento en USA</t>
  </si>
  <si>
    <t>Casa heredada en Marzo (20%)</t>
  </si>
  <si>
    <t>OTROS ACTIVOS FIJOS</t>
  </si>
  <si>
    <t>Automóvil comprado en 2013</t>
  </si>
  <si>
    <t>Equipos de oficina</t>
  </si>
  <si>
    <t>Muebles y enseres de hogar</t>
  </si>
  <si>
    <t>Equipos electrónicos personales</t>
  </si>
  <si>
    <t>Obra de arte heredada en marzo</t>
  </si>
  <si>
    <t>TOTAL ACTIVOS FIJOS</t>
  </si>
  <si>
    <t>VENTAS DE ACTIVOS FIJOS</t>
  </si>
  <si>
    <t>TERRENO:</t>
  </si>
  <si>
    <t>EQUIPO DE OFICINA</t>
  </si>
  <si>
    <t xml:space="preserve"> ( 3 )</t>
  </si>
  <si>
    <r>
      <rPr>
        <b/>
        <sz val="9"/>
        <rFont val="Arial"/>
        <family val="2"/>
      </rPr>
      <t>( 1 )</t>
    </r>
    <r>
      <rPr>
        <sz val="9"/>
        <rFont val="Arial"/>
        <family val="2"/>
      </rPr>
      <t xml:space="preserve"> Decreto No. 0174 de Febrero 13 de 2025: Costo de adquisición multiplicado por 2,29</t>
    </r>
  </si>
  <si>
    <r>
      <t>( 2 )</t>
    </r>
    <r>
      <rPr>
        <sz val="9"/>
        <rFont val="Arial"/>
        <family val="2"/>
      </rPr>
      <t xml:space="preserve"> Venta de un activo fijo poseído por más de dos años. Constituye ganancia ocasional.</t>
    </r>
  </si>
  <si>
    <r>
      <t>( 3 )</t>
    </r>
    <r>
      <rPr>
        <sz val="9"/>
        <rFont val="Arial"/>
        <family val="2"/>
      </rPr>
      <t xml:space="preserve"> Venta de un activo fijo poseído por menos de dos años. Constituye renta ordinaria.</t>
    </r>
  </si>
  <si>
    <t>ANEXO No. 5</t>
  </si>
  <si>
    <t>RENTAS CON 25% EXENTO</t>
  </si>
  <si>
    <t>RENTAS CON COSTOS Y GASTOS</t>
  </si>
  <si>
    <t>REN-</t>
  </si>
  <si>
    <t>VALORES</t>
  </si>
  <si>
    <t>GLÓN</t>
  </si>
  <si>
    <t>Ingresos brutos por rentas de trabajo (Art. 103 E.T.)</t>
  </si>
  <si>
    <t>Salarios</t>
  </si>
  <si>
    <t>Bonificación y Prima de servicios</t>
  </si>
  <si>
    <t>Intereses de cesantías</t>
  </si>
  <si>
    <t>Cesantías consignadas en el fondo</t>
  </si>
  <si>
    <t>Retiro del fondo de cesantías - De 2016 y anteriores</t>
  </si>
  <si>
    <t>Honorarios y servicios - Rentas de trabajo</t>
  </si>
  <si>
    <t>Ingresos no constitutivos de renta</t>
  </si>
  <si>
    <t>Aportes obligatorios a salud - Ingresos laborales</t>
  </si>
  <si>
    <t>Aportes obligatorios a pensión - Ingresos laborales</t>
  </si>
  <si>
    <t>Aportes obligatorios a salud - Honorarios</t>
  </si>
  <si>
    <t>Aportes obligatorios a pensión - Honorarios</t>
  </si>
  <si>
    <t>Costos y deducciones procedentes (independientes)</t>
  </si>
  <si>
    <t>Honorarios pagados a profesionales contratados</t>
  </si>
  <si>
    <t>Impuesto de Industria y Comercio sobre honorarios</t>
  </si>
  <si>
    <t>Impuesto Predial de la oficina</t>
  </si>
  <si>
    <t>Gastos generales de la oficina</t>
  </si>
  <si>
    <t>Renta líquida</t>
  </si>
  <si>
    <t>Rentas exentas:</t>
  </si>
  <si>
    <t>Aportes voluntarios AFC, FVP, AVC</t>
  </si>
  <si>
    <t>Aportes voluntarios a la cuenta AFC (Límite 30%)</t>
  </si>
  <si>
    <t>Aportes al fondo voluntario de pensiones (Límite 30%)</t>
  </si>
  <si>
    <t>Otras rentas exentas</t>
  </si>
  <si>
    <t>Cesantías e intereses recibidos en el año</t>
  </si>
  <si>
    <t>Retiros de cesantías años 2016 y anteriores</t>
  </si>
  <si>
    <t>25% exento (E.T. Art. 206 numeral 10)</t>
  </si>
  <si>
    <t>N/A</t>
  </si>
  <si>
    <t>Total rentas exentas</t>
  </si>
  <si>
    <t>Deducciones imputables:</t>
  </si>
  <si>
    <t>Intereses créditos de vivienda / Leasing habitacional</t>
  </si>
  <si>
    <t>Otras deducciones imputables:</t>
  </si>
  <si>
    <t>Medicina prepagada o seguros de salud</t>
  </si>
  <si>
    <t>Deducción por dependientes</t>
  </si>
  <si>
    <t>50% del GMF</t>
  </si>
  <si>
    <t>Total deducciones imputables</t>
  </si>
  <si>
    <t>Rentas exentas y deducciones imputables (limitadas):</t>
  </si>
  <si>
    <t>Rentas exentas no limitadas</t>
  </si>
  <si>
    <t>Rentas exentas limitadas al 40%</t>
  </si>
  <si>
    <t>Deducciones limitadas al 40%</t>
  </si>
  <si>
    <t>Renta líquida ordinaria del ejercicio</t>
  </si>
  <si>
    <t>Pérdida líquida del ejercicio</t>
  </si>
  <si>
    <t>Compensaciones por pérdidas</t>
  </si>
  <si>
    <t>Renta Líquida Ordinaria</t>
  </si>
  <si>
    <t>ANEXO No. 6</t>
  </si>
  <si>
    <t>RENTAS DE CAPITAL</t>
  </si>
  <si>
    <t>RENTAS NO LABORALES</t>
  </si>
  <si>
    <t>Ingresos brutos</t>
  </si>
  <si>
    <t>Rendimientos financieros de inversiones</t>
  </si>
  <si>
    <t>Arrendamientos</t>
  </si>
  <si>
    <t>Rendimientos presuntivos</t>
  </si>
  <si>
    <t>Intereses CDT en el exterior (TRM $3.977,63)</t>
  </si>
  <si>
    <t>Diferencia en cambio realizada</t>
  </si>
  <si>
    <t xml:space="preserve">     ($3.977,63 - $3.627,86) * US$100.000</t>
  </si>
  <si>
    <t>Retiro del fondo voluntario de pensiones</t>
  </si>
  <si>
    <t>Precio de venta equipo de oficina</t>
  </si>
  <si>
    <t>Devoluciones, rebajas y descuentos</t>
  </si>
  <si>
    <t>Aportes obligatorios a salud</t>
  </si>
  <si>
    <t>Aportes obligatorios a pensión</t>
  </si>
  <si>
    <t>Componente inflacionario de rendimientos fros</t>
  </si>
  <si>
    <t xml:space="preserve">   (Proyecto de Decreto: 50,88%)</t>
  </si>
  <si>
    <t>Componente inflac. retiro del fondo voluntario</t>
  </si>
  <si>
    <t>Componene inflacionario diferencia en cambio</t>
  </si>
  <si>
    <t>Costos y deducciones procedentes</t>
  </si>
  <si>
    <t xml:space="preserve">Mantenimiento y reparaciones locativas </t>
  </si>
  <si>
    <t>Impuesto predial de la casa</t>
  </si>
  <si>
    <t>Costo de venta de equipo de oficina</t>
  </si>
  <si>
    <t>Rentas líquidas pasivas - E.C.E.</t>
  </si>
  <si>
    <t>Inv. Colón S.A. - Rendimientos financieros</t>
  </si>
  <si>
    <t>63 / 65</t>
  </si>
  <si>
    <t>80 / 82</t>
  </si>
  <si>
    <t>67 / 68</t>
  </si>
  <si>
    <t>84 / 85</t>
  </si>
  <si>
    <t>GMF (50% de lo certificado)</t>
  </si>
  <si>
    <t>Rentas exentas y deducciones imputables (limitadas)</t>
  </si>
  <si>
    <t>Rentas exentas limitadas</t>
  </si>
  <si>
    <t>Deducciones limitadas</t>
  </si>
  <si>
    <t>ANEXO No. 7</t>
  </si>
  <si>
    <t>DE TRABAJO</t>
  </si>
  <si>
    <t>DE</t>
  </si>
  <si>
    <t>NO</t>
  </si>
  <si>
    <t>CÉDULA</t>
  </si>
  <si>
    <t>CONCEPTO</t>
  </si>
  <si>
    <t>CAPITAL</t>
  </si>
  <si>
    <t>LABORALES</t>
  </si>
  <si>
    <t>GENERAL</t>
  </si>
  <si>
    <t>Subtotal - Ingresos netos</t>
  </si>
  <si>
    <t>Rentas líquidas pasivas E.C.E.</t>
  </si>
  <si>
    <t>Límite de los beneficios</t>
  </si>
  <si>
    <t>Límite 40% de los ingresos netos</t>
  </si>
  <si>
    <t>Límite 1.340 UVT</t>
  </si>
  <si>
    <t>Rentas exentas y deducciones limitadas:</t>
  </si>
  <si>
    <t>Rentas exentas y deducciones imputables:</t>
  </si>
  <si>
    <t>Hasta el límite del 40% o 1.340 UVT</t>
  </si>
  <si>
    <t xml:space="preserve">     Cesantías retiradas saldo de 2016</t>
  </si>
  <si>
    <t>Deducciones no limitadas</t>
  </si>
  <si>
    <t xml:space="preserve">     1% de las adquisiciones del año (Renglón 28)</t>
  </si>
  <si>
    <t xml:space="preserve">     72 UVT por cada dependiente (Renglón 139)</t>
  </si>
  <si>
    <t>Total rentas exentas y deducciones</t>
  </si>
  <si>
    <t>Renta líquida cédula general</t>
  </si>
  <si>
    <t>Rentas exentas y deducciones imputables limitadas</t>
  </si>
  <si>
    <t>Renta Líquida Ordinaria Cédula General (91 - 92)</t>
  </si>
  <si>
    <t>Compensaciones por pérdidas año 2018 y anteriores</t>
  </si>
  <si>
    <t>Compensaciones de excesos de renta presuntiva</t>
  </si>
  <si>
    <t>Rentas gravables</t>
  </si>
  <si>
    <t>Renta Líquida Gravable Cédula General (93+96-94-95)</t>
  </si>
  <si>
    <t>Renta presuntiva</t>
  </si>
  <si>
    <t>ANEXO No. 8</t>
  </si>
  <si>
    <t>PENSIONES - DIVIDENDOS Y PARTICIPACIONES</t>
  </si>
  <si>
    <t>CÉDULA DE PENSIONES</t>
  </si>
  <si>
    <t>Ingresos brutos por rentas de pensiones del país y del ext.</t>
  </si>
  <si>
    <t>Rentas exentas de pensiones</t>
  </si>
  <si>
    <t>Renta líquida gravable cédula de pensiones</t>
  </si>
  <si>
    <t>CÉDULA DE DIVIDENDOS Y PARTICIPACIONES</t>
  </si>
  <si>
    <t>Dividendos y participaciones 2016 y anteriores, y otros</t>
  </si>
  <si>
    <t>Renta líquida ordinaria año 2016 y anteriores</t>
  </si>
  <si>
    <t>1a subcédula año 2017 y siguientes</t>
  </si>
  <si>
    <t>2a subcédula año 2017 y siguientes</t>
  </si>
  <si>
    <t>Dividendos y participaciones recibidos del exterior</t>
  </si>
  <si>
    <t>Renta pasiva E.C.E. - Dividendos</t>
  </si>
  <si>
    <t>Rentas exentas de la casilla 109</t>
  </si>
  <si>
    <t>Renta líquida gravable dividendos obtenidos desde 2017</t>
  </si>
  <si>
    <t>Renta Líquida Gravable (97 o 98+103+107+108-118)</t>
  </si>
  <si>
    <t>ANEXO No. 9</t>
  </si>
  <si>
    <t>GANANCIAS OCASIONALES</t>
  </si>
  <si>
    <t>Ingresos por ganancias ocasionales del país y del exterior</t>
  </si>
  <si>
    <t>Venta de acciones</t>
  </si>
  <si>
    <t>Venta lote</t>
  </si>
  <si>
    <t>Herencia - Inmueble</t>
  </si>
  <si>
    <t>Herencia - Obra de arte</t>
  </si>
  <si>
    <t>Herencia - CDT</t>
  </si>
  <si>
    <t>Costos por Ganancias Ocasionales</t>
  </si>
  <si>
    <t>Costo fiscal de las acciones vendidas</t>
  </si>
  <si>
    <t>Costo fiscal del lote vendido</t>
  </si>
  <si>
    <t>Ganancias ocasionales no gravadas y exentas</t>
  </si>
  <si>
    <t>Utilidad en venta de acciones en Bolsa</t>
  </si>
  <si>
    <t xml:space="preserve">   (Art. 307 E.T.: Las primeras 13.000 UVT.)</t>
  </si>
  <si>
    <t>Herencia - Obra de arte y CDT - Otros bienes</t>
  </si>
  <si>
    <t xml:space="preserve">   (Art. 307 E.T.: Las primeras 3.250 UVT.)</t>
  </si>
  <si>
    <t>GANANCIAS OCASIONALES GRAVABLES</t>
  </si>
  <si>
    <t>ANEXO No. 10</t>
  </si>
  <si>
    <t>Impuesto  sobre las Rentas Líquidas Gravables</t>
  </si>
  <si>
    <t>Cédula general, de pensiones y de dividendos</t>
  </si>
  <si>
    <t>Renta líquida gravable</t>
  </si>
  <si>
    <t>Renta líquida gravable (UVT)</t>
  </si>
  <si>
    <t>Intervalo de 4.100 a 8.670 UVT</t>
  </si>
  <si>
    <t>Impuesto (UVT)</t>
  </si>
  <si>
    <t>Renta presuntiva, de pensiones y de dividendos</t>
  </si>
  <si>
    <t>Por dividendos y participaciones año 2017 y siguientes 2a Subcédula (35%)</t>
  </si>
  <si>
    <t>Por dividendos y participaciones año 2016</t>
  </si>
  <si>
    <t>Intervalo de 1.090 a 1.700 UVT</t>
  </si>
  <si>
    <t>Por dividendos y participaciones recibidos del exterior</t>
  </si>
  <si>
    <t>Total impuesto sobre las rentas líquidas gravables (116 a 120)</t>
  </si>
  <si>
    <t>Descuentos Tributarios:</t>
  </si>
  <si>
    <t>Impuestos pagados en el exterior</t>
  </si>
  <si>
    <t>Donaciones</t>
  </si>
  <si>
    <t>Dividendos y participaciones, y otros</t>
  </si>
  <si>
    <t xml:space="preserve">     Base del descuento tributario (107 + 108 - 118)</t>
  </si>
  <si>
    <t xml:space="preserve">     Base del descuento tributario en UVT</t>
  </si>
  <si>
    <t>Total Descuentos Tributarios</t>
  </si>
  <si>
    <t>Impuesto Neto de Renta (121 - 125)</t>
  </si>
  <si>
    <t>Impuesto de Ganancias Ocasionales</t>
  </si>
  <si>
    <t>Ganancia ocasional gravable - Las demás</t>
  </si>
  <si>
    <t>Tarifa del impuesto: 15%</t>
  </si>
  <si>
    <t>Descuento por impuestos pagados en el exterior por G.O.</t>
  </si>
  <si>
    <t>Total impuesto a cargo</t>
  </si>
  <si>
    <t>Menos: Anticipo renta liquidado año gravable anterior</t>
  </si>
  <si>
    <t>Menos: Saldo a favor año gravable anterior no solicitado</t>
  </si>
  <si>
    <t>Menos: Retenciones año gravable a declarar</t>
  </si>
  <si>
    <t>Venta del lote</t>
  </si>
  <si>
    <t>Venta del equipo de oficina</t>
  </si>
  <si>
    <t>Ingresos laborales</t>
  </si>
  <si>
    <t>Honorarios</t>
  </si>
  <si>
    <t>Rendimientos financieros</t>
  </si>
  <si>
    <t>Dividendos - Años 2017 y siguientes</t>
  </si>
  <si>
    <t>Dividendos - Años 2016 y anteriores</t>
  </si>
  <si>
    <t>Más: Anticipo de renta para el año gravable siguiente</t>
  </si>
  <si>
    <t>Saldo a pagar por impuesto</t>
  </si>
  <si>
    <t>Sanciones</t>
  </si>
  <si>
    <t>Total saldo a pagar</t>
  </si>
  <si>
    <t>Total saldo a favor</t>
  </si>
  <si>
    <t>Número de dependientes económicos</t>
  </si>
  <si>
    <t>Adición por dependientes a la casilla 92</t>
  </si>
  <si>
    <t>Superó el tope indicativo Art. 336-1 E.T. marque X</t>
  </si>
  <si>
    <t>Aporte voluntario</t>
  </si>
  <si>
    <t>Análisis del beneficio de auditoría:</t>
  </si>
  <si>
    <t>Impuesto neto de renta del año actual</t>
  </si>
  <si>
    <t>Impuesto neto de renta del año anterior</t>
  </si>
  <si>
    <t>Aumento</t>
  </si>
  <si>
    <t>La declaración quedará en firme en 6 meses</t>
  </si>
  <si>
    <t>ANEXO No. 11</t>
  </si>
  <si>
    <t>AÑO ACTUAL</t>
  </si>
  <si>
    <t>PROMEDIO</t>
  </si>
  <si>
    <t>IMPUESTO NETO DE RENTA AÑO 2023</t>
  </si>
  <si>
    <t>IMPUESTO NETO DE RENTA AÑO 2024</t>
  </si>
  <si>
    <t>ANTICIPO 75%</t>
  </si>
  <si>
    <t>MENOS: RETENCIONES A FAVOR</t>
  </si>
  <si>
    <t>ANTICIPO PARA EL AÑO GRAVABLE SIGUIENTE</t>
  </si>
  <si>
    <t>VALOR ANTICIPO DEFINITIVO</t>
  </si>
  <si>
    <t>ANEXO No. 12</t>
  </si>
  <si>
    <t>37. JURISDICCIÓN</t>
  </si>
  <si>
    <t>38. NATURALEZA</t>
  </si>
  <si>
    <t>39. TIPO DE ACTIVO</t>
  </si>
  <si>
    <t>40. IDENTIFICACIÓN</t>
  </si>
  <si>
    <t>41. VALOR</t>
  </si>
  <si>
    <t>Luxemburgo</t>
  </si>
  <si>
    <t>Movible</t>
  </si>
  <si>
    <t>Otras Inversiones</t>
  </si>
  <si>
    <t>Banco XXXXX</t>
  </si>
  <si>
    <t>Panamá</t>
  </si>
  <si>
    <t>Fijo</t>
  </si>
  <si>
    <t>Acciones</t>
  </si>
  <si>
    <t>Estados Unidos</t>
  </si>
  <si>
    <t>Inmuebles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</si>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</sst>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 * #,##0.00_ ;_ * \-#,##0.00_ ;_ * &quot;-&quot;??_ ;_ @_ "/>
    <numFmt numFmtId="166" formatCode="#,##0;[Red]\(#,##0\)"/>
    <numFmt numFmtId="167" formatCode="#,##0.00;[Red]\(#,##0.00\)"/>
    <numFmt numFmtId="168" formatCode="_ [$€-2]\ * #,##0.00_ ;_ [$€-2]\ * \-#,##0.00_ ;_ [$€-2]\ * &quot;-&quot;??_ "/>
    <numFmt numFmtId="169" formatCode="_(&quot;$&quot;* #,##0.00_);_(&quot;$&quot;* \(#,##0.00\);_(&quot;$&quot;* &quot;-&quot;??_);_(@_)"/>
    <numFmt numFmtId="170" formatCode="_(* #,##0_);_(* \(#,##0\);_(* &quot;-&quot;??_);_(@_)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9" fontId="12" fillId="0" borderId="0" applyFont="0" applyFill="0" applyBorder="0" applyAlignment="0" applyProtection="0"/>
    <xf numFmtId="0" fontId="1" fillId="0" borderId="0"/>
    <xf numFmtId="0" fontId="14" fillId="0" borderId="0"/>
  </cellStyleXfs>
  <cellXfs count="355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right" vertical="center"/>
      <protection locked="0"/>
    </xf>
    <xf numFmtId="3" fontId="7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0" fontId="7" fillId="0" borderId="0" xfId="0" quotePrefix="1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7" fillId="0" borderId="0" xfId="14" applyFont="1" applyProtection="1">
      <protection locked="0"/>
    </xf>
    <xf numFmtId="37" fontId="7" fillId="0" borderId="0" xfId="14" applyNumberFormat="1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5" borderId="25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2" fillId="3" borderId="17" xfId="0" applyFont="1" applyFill="1" applyBorder="1"/>
    <xf numFmtId="3" fontId="4" fillId="0" borderId="0" xfId="0" applyNumberFormat="1" applyFont="1"/>
    <xf numFmtId="3" fontId="0" fillId="0" borderId="0" xfId="0" applyNumberFormat="1"/>
    <xf numFmtId="0" fontId="4" fillId="5" borderId="9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13" xfId="0" applyFont="1" applyFill="1" applyBorder="1"/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31" xfId="0" applyFont="1" applyFill="1" applyBorder="1"/>
    <xf numFmtId="3" fontId="2" fillId="3" borderId="11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4" xfId="0" applyFont="1" applyBorder="1"/>
    <xf numFmtId="170" fontId="2" fillId="0" borderId="10" xfId="12" applyNumberFormat="1" applyFont="1" applyFill="1" applyBorder="1" applyProtection="1"/>
    <xf numFmtId="0" fontId="2" fillId="0" borderId="0" xfId="0" applyFont="1"/>
    <xf numFmtId="0" fontId="4" fillId="0" borderId="4" xfId="0" applyFont="1" applyBorder="1"/>
    <xf numFmtId="3" fontId="4" fillId="0" borderId="10" xfId="0" applyNumberFormat="1" applyFont="1" applyBorder="1"/>
    <xf numFmtId="170" fontId="4" fillId="0" borderId="11" xfId="12" applyNumberFormat="1" applyFont="1" applyFill="1" applyBorder="1" applyProtection="1"/>
    <xf numFmtId="3" fontId="4" fillId="0" borderId="11" xfId="0" applyNumberFormat="1" applyFont="1" applyBorder="1"/>
    <xf numFmtId="3" fontId="4" fillId="0" borderId="14" xfId="0" applyNumberFormat="1" applyFont="1" applyBorder="1"/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2" borderId="25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18" xfId="0" quotePrefix="1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7" fillId="0" borderId="17" xfId="0" applyFont="1" applyBorder="1"/>
    <xf numFmtId="0" fontId="3" fillId="0" borderId="10" xfId="0" applyFont="1" applyBorder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41" xfId="0" applyFont="1" applyBorder="1" applyAlignment="1">
      <alignment horizontal="center"/>
    </xf>
    <xf numFmtId="0" fontId="7" fillId="0" borderId="5" xfId="0" applyFont="1" applyBorder="1"/>
    <xf numFmtId="15" fontId="7" fillId="0" borderId="10" xfId="0" applyNumberFormat="1" applyFont="1" applyBorder="1" applyAlignment="1">
      <alignment horizontal="center"/>
    </xf>
    <xf numFmtId="166" fontId="7" fillId="0" borderId="5" xfId="0" applyNumberFormat="1" applyFont="1" applyBorder="1"/>
    <xf numFmtId="166" fontId="7" fillId="0" borderId="10" xfId="0" applyNumberFormat="1" applyFont="1" applyBorder="1"/>
    <xf numFmtId="10" fontId="7" fillId="0" borderId="4" xfId="0" quotePrefix="1" applyNumberFormat="1" applyFont="1" applyBorder="1" applyAlignment="1">
      <alignment horizontal="center"/>
    </xf>
    <xf numFmtId="166" fontId="7" fillId="0" borderId="41" xfId="0" applyNumberFormat="1" applyFont="1" applyBorder="1" applyAlignment="1">
      <alignment horizontal="right"/>
    </xf>
    <xf numFmtId="166" fontId="7" fillId="0" borderId="0" xfId="0" applyNumberFormat="1" applyFont="1"/>
    <xf numFmtId="166" fontId="7" fillId="0" borderId="12" xfId="0" applyNumberFormat="1" applyFont="1" applyBorder="1"/>
    <xf numFmtId="166" fontId="7" fillId="0" borderId="40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3" fillId="0" borderId="17" xfId="0" applyFont="1" applyBorder="1"/>
    <xf numFmtId="0" fontId="7" fillId="0" borderId="10" xfId="0" applyFont="1" applyBorder="1"/>
    <xf numFmtId="166" fontId="3" fillId="0" borderId="14" xfId="0" applyNumberFormat="1" applyFont="1" applyBorder="1"/>
    <xf numFmtId="166" fontId="7" fillId="0" borderId="0" xfId="0" applyNumberFormat="1" applyFont="1" applyAlignment="1">
      <alignment horizontal="right"/>
    </xf>
    <xf numFmtId="166" fontId="3" fillId="0" borderId="42" xfId="0" applyNumberFormat="1" applyFont="1" applyBorder="1" applyAlignment="1">
      <alignment horizontal="right"/>
    </xf>
    <xf numFmtId="0" fontId="7" fillId="0" borderId="19" xfId="0" applyFont="1" applyBorder="1"/>
    <xf numFmtId="0" fontId="7" fillId="0" borderId="20" xfId="0" applyFont="1" applyBorder="1"/>
    <xf numFmtId="0" fontId="7" fillId="0" borderId="23" xfId="0" applyFont="1" applyBorder="1"/>
    <xf numFmtId="166" fontId="7" fillId="0" borderId="20" xfId="0" applyNumberFormat="1" applyFont="1" applyBorder="1"/>
    <xf numFmtId="166" fontId="7" fillId="0" borderId="23" xfId="0" applyNumberFormat="1" applyFont="1" applyBorder="1"/>
    <xf numFmtId="166" fontId="7" fillId="0" borderId="20" xfId="0" applyNumberFormat="1" applyFont="1" applyBorder="1" applyAlignment="1">
      <alignment horizontal="right"/>
    </xf>
    <xf numFmtId="166" fontId="7" fillId="0" borderId="43" xfId="0" applyNumberFormat="1" applyFont="1" applyBorder="1" applyAlignment="1">
      <alignment horizontal="right"/>
    </xf>
    <xf numFmtId="0" fontId="7" fillId="0" borderId="25" xfId="0" quotePrefix="1" applyFont="1" applyBorder="1" applyAlignment="1">
      <alignment horizontal="left"/>
    </xf>
    <xf numFmtId="0" fontId="7" fillId="0" borderId="18" xfId="0" quotePrefix="1" applyFont="1" applyBorder="1" applyAlignment="1">
      <alignment horizontal="left"/>
    </xf>
    <xf numFmtId="0" fontId="7" fillId="0" borderId="18" xfId="0" applyFont="1" applyBorder="1"/>
    <xf numFmtId="166" fontId="7" fillId="0" borderId="18" xfId="0" applyNumberFormat="1" applyFont="1" applyBorder="1"/>
    <xf numFmtId="166" fontId="7" fillId="0" borderId="18" xfId="0" applyNumberFormat="1" applyFont="1" applyBorder="1" applyAlignment="1">
      <alignment horizontal="right"/>
    </xf>
    <xf numFmtId="166" fontId="7" fillId="0" borderId="26" xfId="0" applyNumberFormat="1" applyFont="1" applyBorder="1" applyAlignment="1">
      <alignment horizontal="right"/>
    </xf>
    <xf numFmtId="166" fontId="7" fillId="0" borderId="21" xfId="0" applyNumberFormat="1" applyFont="1" applyBorder="1" applyAlignment="1">
      <alignment horizontal="right"/>
    </xf>
    <xf numFmtId="10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0" fontId="7" fillId="0" borderId="19" xfId="0" applyNumberFormat="1" applyFont="1" applyBorder="1" applyAlignment="1">
      <alignment horizontal="left"/>
    </xf>
    <xf numFmtId="10" fontId="7" fillId="0" borderId="20" xfId="0" applyNumberFormat="1" applyFont="1" applyBorder="1" applyAlignment="1">
      <alignment horizontal="left"/>
    </xf>
    <xf numFmtId="0" fontId="7" fillId="0" borderId="20" xfId="0" applyFont="1" applyBorder="1" applyAlignment="1">
      <alignment horizontal="right"/>
    </xf>
    <xf numFmtId="166" fontId="7" fillId="0" borderId="24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166" fontId="4" fillId="2" borderId="9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166" fontId="4" fillId="2" borderId="12" xfId="0" applyNumberFormat="1" applyFont="1" applyFill="1" applyBorder="1" applyAlignment="1">
      <alignment horizontal="center"/>
    </xf>
    <xf numFmtId="10" fontId="4" fillId="2" borderId="12" xfId="8" applyNumberFormat="1" applyFont="1" applyFill="1" applyBorder="1" applyAlignment="1" applyProtection="1">
      <alignment horizontal="center"/>
    </xf>
    <xf numFmtId="166" fontId="2" fillId="0" borderId="10" xfId="0" applyNumberFormat="1" applyFont="1" applyBorder="1"/>
    <xf numFmtId="166" fontId="2" fillId="0" borderId="0" xfId="0" applyNumberFormat="1" applyFont="1"/>
    <xf numFmtId="0" fontId="13" fillId="0" borderId="4" xfId="0" applyFont="1" applyBorder="1"/>
    <xf numFmtId="167" fontId="2" fillId="0" borderId="10" xfId="0" applyNumberFormat="1" applyFont="1" applyBorder="1"/>
    <xf numFmtId="0" fontId="2" fillId="0" borderId="4" xfId="0" applyFont="1" applyBorder="1" applyAlignment="1">
      <alignment horizontal="left"/>
    </xf>
    <xf numFmtId="166" fontId="2" fillId="0" borderId="12" xfId="0" applyNumberFormat="1" applyFont="1" applyBorder="1"/>
    <xf numFmtId="167" fontId="2" fillId="0" borderId="12" xfId="0" applyNumberFormat="1" applyFont="1" applyBorder="1"/>
    <xf numFmtId="166" fontId="4" fillId="0" borderId="4" xfId="0" quotePrefix="1" applyNumberFormat="1" applyFont="1" applyBorder="1"/>
    <xf numFmtId="166" fontId="2" fillId="0" borderId="11" xfId="0" applyNumberFormat="1" applyFont="1" applyBorder="1"/>
    <xf numFmtId="167" fontId="2" fillId="0" borderId="11" xfId="0" applyNumberFormat="1" applyFont="1" applyBorder="1"/>
    <xf numFmtId="166" fontId="2" fillId="0" borderId="1" xfId="0" applyNumberFormat="1" applyFont="1" applyBorder="1"/>
    <xf numFmtId="0" fontId="4" fillId="0" borderId="32" xfId="0" applyFont="1" applyBorder="1"/>
    <xf numFmtId="0" fontId="2" fillId="0" borderId="16" xfId="0" applyFont="1" applyBorder="1"/>
    <xf numFmtId="166" fontId="4" fillId="0" borderId="14" xfId="0" applyNumberFormat="1" applyFont="1" applyBorder="1"/>
    <xf numFmtId="166" fontId="4" fillId="0" borderId="0" xfId="0" applyNumberFormat="1" applyFont="1"/>
    <xf numFmtId="0" fontId="4" fillId="2" borderId="2" xfId="0" applyFont="1" applyFill="1" applyBorder="1"/>
    <xf numFmtId="0" fontId="2" fillId="2" borderId="3" xfId="0" applyFont="1" applyFill="1" applyBorder="1"/>
    <xf numFmtId="0" fontId="4" fillId="2" borderId="2" xfId="0" applyFont="1" applyFill="1" applyBorder="1" applyAlignment="1">
      <alignment horizontal="center"/>
    </xf>
    <xf numFmtId="166" fontId="2" fillId="2" borderId="9" xfId="0" applyNumberFormat="1" applyFont="1" applyFill="1" applyBorder="1"/>
    <xf numFmtId="0" fontId="4" fillId="2" borderId="6" xfId="0" applyFont="1" applyFill="1" applyBorder="1"/>
    <xf numFmtId="0" fontId="2" fillId="2" borderId="7" xfId="0" applyFont="1" applyFill="1" applyBorder="1"/>
    <xf numFmtId="0" fontId="4" fillId="2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0" xfId="0" applyFont="1" applyBorder="1"/>
    <xf numFmtId="0" fontId="4" fillId="0" borderId="10" xfId="0" applyFont="1" applyBorder="1" applyAlignment="1">
      <alignment horizontal="center"/>
    </xf>
    <xf numFmtId="166" fontId="2" fillId="0" borderId="5" xfId="0" applyNumberFormat="1" applyFont="1" applyBorder="1"/>
    <xf numFmtId="167" fontId="2" fillId="0" borderId="0" xfId="0" applyNumberFormat="1" applyFont="1"/>
    <xf numFmtId="166" fontId="2" fillId="0" borderId="10" xfId="0" applyNumberFormat="1" applyFont="1" applyBorder="1" applyAlignment="1">
      <alignment horizontal="center"/>
    </xf>
    <xf numFmtId="166" fontId="2" fillId="0" borderId="6" xfId="0" applyNumberFormat="1" applyFont="1" applyBorder="1"/>
    <xf numFmtId="166" fontId="4" fillId="0" borderId="6" xfId="0" applyNumberFormat="1" applyFont="1" applyBorder="1"/>
    <xf numFmtId="166" fontId="4" fillId="0" borderId="12" xfId="0" applyNumberFormat="1" applyFont="1" applyBorder="1"/>
    <xf numFmtId="0" fontId="4" fillId="0" borderId="6" xfId="0" applyFont="1" applyBorder="1"/>
    <xf numFmtId="0" fontId="2" fillId="0" borderId="7" xfId="0" applyFont="1" applyBorder="1"/>
    <xf numFmtId="166" fontId="2" fillId="0" borderId="7" xfId="0" applyNumberFormat="1" applyFont="1" applyBorder="1"/>
    <xf numFmtId="0" fontId="2" fillId="0" borderId="12" xfId="0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166" fontId="3" fillId="2" borderId="9" xfId="0" applyNumberFormat="1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166" fontId="3" fillId="2" borderId="1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166" fontId="3" fillId="2" borderId="12" xfId="0" quotePrefix="1" applyNumberFormat="1" applyFont="1" applyFill="1" applyBorder="1" applyAlignment="1">
      <alignment horizontal="center"/>
    </xf>
    <xf numFmtId="10" fontId="3" fillId="2" borderId="7" xfId="8" applyNumberFormat="1" applyFont="1" applyFill="1" applyBorder="1" applyAlignment="1" applyProtection="1">
      <alignment horizontal="center"/>
    </xf>
    <xf numFmtId="10" fontId="3" fillId="2" borderId="12" xfId="8" applyNumberFormat="1" applyFont="1" applyFill="1" applyBorder="1" applyAlignment="1" applyProtection="1">
      <alignment horizontal="center"/>
    </xf>
    <xf numFmtId="166" fontId="3" fillId="2" borderId="12" xfId="0" applyNumberFormat="1" applyFont="1" applyFill="1" applyBorder="1" applyAlignment="1">
      <alignment horizontal="center"/>
    </xf>
    <xf numFmtId="166" fontId="3" fillId="2" borderId="8" xfId="0" quotePrefix="1" applyNumberFormat="1" applyFont="1" applyFill="1" applyBorder="1" applyAlignment="1">
      <alignment horizontal="center"/>
    </xf>
    <xf numFmtId="166" fontId="3" fillId="2" borderId="8" xfId="0" applyNumberFormat="1" applyFont="1" applyFill="1" applyBorder="1" applyAlignment="1">
      <alignment horizontal="center"/>
    </xf>
    <xf numFmtId="0" fontId="7" fillId="0" borderId="4" xfId="0" applyFont="1" applyBorder="1"/>
    <xf numFmtId="166" fontId="7" fillId="0" borderId="9" xfId="0" applyNumberFormat="1" applyFont="1" applyBorder="1"/>
    <xf numFmtId="0" fontId="3" fillId="0" borderId="4" xfId="0" applyFont="1" applyBorder="1"/>
    <xf numFmtId="166" fontId="7" fillId="0" borderId="4" xfId="0" applyNumberFormat="1" applyFont="1" applyBorder="1"/>
    <xf numFmtId="166" fontId="7" fillId="0" borderId="11" xfId="0" applyNumberFormat="1" applyFont="1" applyBorder="1"/>
    <xf numFmtId="0" fontId="3" fillId="0" borderId="32" xfId="0" applyFont="1" applyBorder="1"/>
    <xf numFmtId="0" fontId="7" fillId="0" borderId="35" xfId="0" applyFont="1" applyBorder="1"/>
    <xf numFmtId="166" fontId="3" fillId="0" borderId="0" xfId="0" applyNumberFormat="1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9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Continuous"/>
    </xf>
    <xf numFmtId="0" fontId="7" fillId="0" borderId="2" xfId="0" applyFont="1" applyBorder="1"/>
    <xf numFmtId="0" fontId="7" fillId="0" borderId="9" xfId="0" applyFont="1" applyBorder="1" applyAlignment="1">
      <alignment horizontal="center"/>
    </xf>
    <xf numFmtId="0" fontId="8" fillId="0" borderId="4" xfId="0" applyFont="1" applyBorder="1"/>
    <xf numFmtId="3" fontId="7" fillId="0" borderId="10" xfId="0" applyNumberFormat="1" applyFont="1" applyBorder="1" applyAlignment="1">
      <alignment horizontal="center"/>
    </xf>
    <xf numFmtId="0" fontId="3" fillId="0" borderId="0" xfId="0" quotePrefix="1" applyFont="1"/>
    <xf numFmtId="166" fontId="3" fillId="0" borderId="11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8" borderId="30" xfId="0" applyFont="1" applyFill="1" applyBorder="1"/>
    <xf numFmtId="0" fontId="4" fillId="8" borderId="1" xfId="0" applyFont="1" applyFill="1" applyBorder="1"/>
    <xf numFmtId="0" fontId="4" fillId="8" borderId="31" xfId="0" applyFont="1" applyFill="1" applyBorder="1" applyAlignment="1">
      <alignment horizontal="center"/>
    </xf>
    <xf numFmtId="0" fontId="4" fillId="8" borderId="31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8" borderId="12" xfId="0" applyFont="1" applyFill="1" applyBorder="1" applyAlignment="1">
      <alignment horizontal="center"/>
    </xf>
    <xf numFmtId="0" fontId="2" fillId="0" borderId="5" xfId="0" applyFont="1" applyBorder="1"/>
    <xf numFmtId="0" fontId="4" fillId="0" borderId="5" xfId="0" applyFont="1" applyBorder="1"/>
    <xf numFmtId="3" fontId="4" fillId="0" borderId="5" xfId="0" applyNumberFormat="1" applyFont="1" applyBorder="1" applyAlignment="1">
      <alignment horizontal="center"/>
    </xf>
    <xf numFmtId="0" fontId="4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11" fillId="0" borderId="5" xfId="0" applyFont="1" applyBorder="1"/>
    <xf numFmtId="3" fontId="2" fillId="8" borderId="10" xfId="0" applyNumberFormat="1" applyFont="1" applyFill="1" applyBorder="1" applyAlignment="1">
      <alignment horizontal="center"/>
    </xf>
    <xf numFmtId="3" fontId="2" fillId="0" borderId="10" xfId="0" applyNumberFormat="1" applyFont="1" applyBorder="1"/>
    <xf numFmtId="3" fontId="4" fillId="6" borderId="10" xfId="0" applyNumberFormat="1" applyFont="1" applyFill="1" applyBorder="1"/>
    <xf numFmtId="3" fontId="2" fillId="0" borderId="12" xfId="0" applyNumberFormat="1" applyFont="1" applyBorder="1"/>
    <xf numFmtId="3" fontId="2" fillId="0" borderId="10" xfId="0" applyNumberFormat="1" applyFont="1" applyBorder="1" applyAlignment="1">
      <alignment horizontal="center"/>
    </xf>
    <xf numFmtId="3" fontId="4" fillId="6" borderId="15" xfId="0" applyNumberFormat="1" applyFont="1" applyFill="1" applyBorder="1"/>
    <xf numFmtId="3" fontId="4" fillId="0" borderId="9" xfId="0" applyNumberFormat="1" applyFont="1" applyBorder="1"/>
    <xf numFmtId="3" fontId="2" fillId="0" borderId="5" xfId="0" quotePrefix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4" fillId="6" borderId="9" xfId="0" applyNumberFormat="1" applyFont="1" applyFill="1" applyBorder="1"/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3" fontId="4" fillId="7" borderId="9" xfId="0" applyNumberFormat="1" applyFont="1" applyFill="1" applyBorder="1"/>
    <xf numFmtId="3" fontId="4" fillId="0" borderId="13" xfId="0" applyNumberFormat="1" applyFont="1" applyBorder="1"/>
    <xf numFmtId="3" fontId="4" fillId="4" borderId="9" xfId="0" applyNumberFormat="1" applyFont="1" applyFill="1" applyBorder="1"/>
    <xf numFmtId="3" fontId="2" fillId="7" borderId="10" xfId="0" applyNumberFormat="1" applyFont="1" applyFill="1" applyBorder="1"/>
    <xf numFmtId="3" fontId="4" fillId="9" borderId="11" xfId="0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4" fillId="0" borderId="5" xfId="0" applyNumberFormat="1" applyFont="1" applyBorder="1"/>
    <xf numFmtId="3" fontId="4" fillId="10" borderId="14" xfId="0" applyNumberFormat="1" applyFont="1" applyFill="1" applyBorder="1"/>
    <xf numFmtId="0" fontId="2" fillId="0" borderId="12" xfId="0" applyFont="1" applyBorder="1" applyAlignment="1">
      <alignment horizontal="center"/>
    </xf>
    <xf numFmtId="3" fontId="2" fillId="0" borderId="0" xfId="0" applyNumberFormat="1" applyFont="1"/>
    <xf numFmtId="3" fontId="4" fillId="0" borderId="12" xfId="0" applyNumberFormat="1" applyFont="1" applyBorder="1"/>
    <xf numFmtId="0" fontId="2" fillId="8" borderId="4" xfId="0" applyFont="1" applyFill="1" applyBorder="1"/>
    <xf numFmtId="0" fontId="2" fillId="8" borderId="0" xfId="0" applyFont="1" applyFill="1"/>
    <xf numFmtId="0" fontId="2" fillId="8" borderId="10" xfId="0" applyFont="1" applyFill="1" applyBorder="1"/>
    <xf numFmtId="3" fontId="2" fillId="8" borderId="10" xfId="0" applyNumberFormat="1" applyFont="1" applyFill="1" applyBorder="1"/>
    <xf numFmtId="3" fontId="2" fillId="8" borderId="5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13" fillId="0" borderId="0" xfId="0" applyFont="1"/>
    <xf numFmtId="3" fontId="2" fillId="0" borderId="1" xfId="0" applyNumberFormat="1" applyFont="1" applyBorder="1"/>
    <xf numFmtId="9" fontId="2" fillId="0" borderId="0" xfId="8" applyFont="1" applyAlignment="1" applyProtection="1">
      <alignment horizontal="center"/>
    </xf>
    <xf numFmtId="0" fontId="2" fillId="4" borderId="0" xfId="0" applyFont="1" applyFill="1"/>
    <xf numFmtId="0" fontId="7" fillId="0" borderId="0" xfId="14" applyFont="1"/>
    <xf numFmtId="0" fontId="3" fillId="0" borderId="0" xfId="14" applyFont="1"/>
    <xf numFmtId="0" fontId="7" fillId="2" borderId="25" xfId="0" applyFont="1" applyFill="1" applyBorder="1"/>
    <xf numFmtId="0" fontId="7" fillId="2" borderId="18" xfId="0" applyFont="1" applyFill="1" applyBorder="1"/>
    <xf numFmtId="166" fontId="7" fillId="2" borderId="37" xfId="0" applyNumberFormat="1" applyFont="1" applyFill="1" applyBorder="1"/>
    <xf numFmtId="166" fontId="7" fillId="2" borderId="18" xfId="0" applyNumberFormat="1" applyFont="1" applyFill="1" applyBorder="1"/>
    <xf numFmtId="166" fontId="7" fillId="2" borderId="26" xfId="0" applyNumberFormat="1" applyFont="1" applyFill="1" applyBorder="1"/>
    <xf numFmtId="0" fontId="7" fillId="2" borderId="38" xfId="0" applyFont="1" applyFill="1" applyBorder="1"/>
    <xf numFmtId="0" fontId="7" fillId="2" borderId="7" xfId="0" applyFont="1" applyFill="1" applyBorder="1"/>
    <xf numFmtId="166" fontId="3" fillId="2" borderId="7" xfId="0" applyNumberFormat="1" applyFont="1" applyFill="1" applyBorder="1" applyAlignment="1">
      <alignment horizontal="center"/>
    </xf>
    <xf numFmtId="166" fontId="3" fillId="2" borderId="22" xfId="0" applyNumberFormat="1" applyFont="1" applyFill="1" applyBorder="1" applyAlignment="1">
      <alignment horizontal="center"/>
    </xf>
    <xf numFmtId="0" fontId="7" fillId="0" borderId="21" xfId="14" applyFont="1" applyBorder="1"/>
    <xf numFmtId="166" fontId="7" fillId="0" borderId="7" xfId="0" applyNumberFormat="1" applyFont="1" applyBorder="1"/>
    <xf numFmtId="166" fontId="7" fillId="0" borderId="14" xfId="0" applyNumberFormat="1" applyFont="1" applyBorder="1"/>
    <xf numFmtId="166" fontId="7" fillId="0" borderId="16" xfId="0" applyNumberFormat="1" applyFont="1" applyBorder="1"/>
    <xf numFmtId="0" fontId="3" fillId="0" borderId="20" xfId="0" applyFont="1" applyBorder="1"/>
    <xf numFmtId="0" fontId="7" fillId="0" borderId="24" xfId="14" applyFont="1" applyBorder="1"/>
    <xf numFmtId="0" fontId="3" fillId="0" borderId="0" xfId="14" applyFont="1" applyAlignment="1">
      <alignment horizontal="left"/>
    </xf>
    <xf numFmtId="166" fontId="7" fillId="0" borderId="0" xfId="14" applyNumberFormat="1" applyFont="1"/>
    <xf numFmtId="0" fontId="3" fillId="0" borderId="0" xfId="14" applyFont="1" applyAlignment="1">
      <alignment horizontal="center"/>
    </xf>
    <xf numFmtId="0" fontId="3" fillId="2" borderId="50" xfId="14" applyFont="1" applyFill="1" applyBorder="1" applyAlignment="1">
      <alignment horizontal="center" vertical="center"/>
    </xf>
    <xf numFmtId="0" fontId="3" fillId="2" borderId="49" xfId="14" applyFont="1" applyFill="1" applyBorder="1" applyAlignment="1">
      <alignment horizontal="center" vertical="center"/>
    </xf>
    <xf numFmtId="0" fontId="3" fillId="2" borderId="46" xfId="14" applyFont="1" applyFill="1" applyBorder="1" applyAlignment="1">
      <alignment horizontal="center" vertical="center"/>
    </xf>
    <xf numFmtId="0" fontId="3" fillId="2" borderId="48" xfId="14" applyFont="1" applyFill="1" applyBorder="1" applyAlignment="1">
      <alignment horizontal="center" vertical="center" wrapText="1"/>
    </xf>
    <xf numFmtId="0" fontId="3" fillId="2" borderId="47" xfId="14" applyFont="1" applyFill="1" applyBorder="1" applyAlignment="1">
      <alignment horizontal="center" vertical="center" wrapText="1"/>
    </xf>
    <xf numFmtId="0" fontId="3" fillId="2" borderId="51" xfId="14" applyFont="1" applyFill="1" applyBorder="1" applyAlignment="1">
      <alignment horizontal="center" wrapText="1"/>
    </xf>
    <xf numFmtId="0" fontId="7" fillId="0" borderId="33" xfId="14" applyFont="1" applyBorder="1"/>
    <xf numFmtId="0" fontId="7" fillId="0" borderId="9" xfId="14" applyFont="1" applyBorder="1"/>
    <xf numFmtId="0" fontId="7" fillId="0" borderId="3" xfId="14" applyFont="1" applyBorder="1"/>
    <xf numFmtId="166" fontId="7" fillId="0" borderId="2" xfId="14" applyNumberFormat="1" applyFont="1" applyBorder="1"/>
    <xf numFmtId="166" fontId="7" fillId="0" borderId="3" xfId="14" applyNumberFormat="1" applyFont="1" applyBorder="1"/>
    <xf numFmtId="0" fontId="7" fillId="0" borderId="13" xfId="14" applyFont="1" applyBorder="1"/>
    <xf numFmtId="0" fontId="7" fillId="0" borderId="34" xfId="14" applyFont="1" applyBorder="1"/>
    <xf numFmtId="0" fontId="7" fillId="0" borderId="17" xfId="14" applyFont="1" applyBorder="1"/>
    <xf numFmtId="0" fontId="7" fillId="0" borderId="10" xfId="14" applyFont="1" applyBorder="1"/>
    <xf numFmtId="166" fontId="7" fillId="0" borderId="4" xfId="14" applyNumberFormat="1" applyFont="1" applyBorder="1"/>
    <xf numFmtId="0" fontId="7" fillId="0" borderId="5" xfId="14" applyFont="1" applyBorder="1"/>
    <xf numFmtId="37" fontId="7" fillId="0" borderId="0" xfId="14" applyNumberFormat="1" applyFont="1"/>
    <xf numFmtId="0" fontId="3" fillId="0" borderId="4" xfId="14" applyFont="1" applyBorder="1"/>
    <xf numFmtId="0" fontId="3" fillId="0" borderId="5" xfId="14" applyFont="1" applyBorder="1"/>
    <xf numFmtId="37" fontId="3" fillId="0" borderId="45" xfId="14" applyNumberFormat="1" applyFont="1" applyBorder="1"/>
    <xf numFmtId="0" fontId="7" fillId="0" borderId="19" xfId="14" applyFont="1" applyBorder="1"/>
    <xf numFmtId="0" fontId="7" fillId="0" borderId="23" xfId="14" applyFont="1" applyBorder="1"/>
    <xf numFmtId="0" fontId="7" fillId="0" borderId="20" xfId="14" applyFont="1" applyBorder="1"/>
    <xf numFmtId="0" fontId="7" fillId="0" borderId="44" xfId="14" applyFont="1" applyBorder="1"/>
    <xf numFmtId="0" fontId="7" fillId="0" borderId="36" xfId="14" applyFont="1" applyBorder="1"/>
    <xf numFmtId="37" fontId="7" fillId="0" borderId="20" xfId="14" applyNumberFormat="1" applyFont="1" applyBorder="1"/>
    <xf numFmtId="0" fontId="2" fillId="0" borderId="4" xfId="0" applyFont="1" applyBorder="1" applyAlignment="1">
      <alignment wrapText="1"/>
    </xf>
    <xf numFmtId="3" fontId="2" fillId="0" borderId="15" xfId="0" applyNumberFormat="1" applyFont="1" applyBorder="1"/>
    <xf numFmtId="3" fontId="15" fillId="0" borderId="5" xfId="0" applyNumberFormat="1" applyFont="1" applyBorder="1" applyAlignment="1">
      <alignment horizontal="center"/>
    </xf>
    <xf numFmtId="0" fontId="4" fillId="10" borderId="4" xfId="0" applyFont="1" applyFill="1" applyBorder="1"/>
    <xf numFmtId="0" fontId="4" fillId="10" borderId="0" xfId="0" applyFont="1" applyFill="1"/>
    <xf numFmtId="3" fontId="4" fillId="10" borderId="10" xfId="0" applyNumberFormat="1" applyFont="1" applyFill="1" applyBorder="1"/>
    <xf numFmtId="3" fontId="4" fillId="10" borderId="0" xfId="0" applyNumberFormat="1" applyFont="1" applyFill="1"/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3" fillId="2" borderId="48" xfId="14" applyFont="1" applyFill="1" applyBorder="1" applyAlignment="1">
      <alignment horizontal="center" vertical="center" wrapText="1"/>
    </xf>
    <xf numFmtId="0" fontId="3" fillId="2" borderId="46" xfId="1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25" xfId="0" applyFont="1" applyFill="1" applyBorder="1"/>
    <xf numFmtId="0" fontId="2" fillId="3" borderId="18" xfId="0" applyFont="1" applyFill="1" applyBorder="1"/>
    <xf numFmtId="0" fontId="2" fillId="3" borderId="26" xfId="0" applyFont="1" applyFill="1" applyBorder="1"/>
    <xf numFmtId="0" fontId="2" fillId="3" borderId="29" xfId="0" applyFont="1" applyFill="1" applyBorder="1" applyAlignment="1">
      <alignment horizontal="center"/>
    </xf>
    <xf numFmtId="0" fontId="2" fillId="3" borderId="0" xfId="0" applyFont="1" applyFill="1"/>
    <xf numFmtId="0" fontId="2" fillId="3" borderId="21" xfId="0" applyFont="1" applyFill="1" applyBorder="1"/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4" xfId="0" applyFont="1" applyFill="1" applyBorder="1"/>
    <xf numFmtId="0" fontId="2" fillId="3" borderId="28" xfId="0" applyFont="1" applyFill="1" applyBorder="1" applyAlignment="1">
      <alignment horizontal="center"/>
    </xf>
    <xf numFmtId="9" fontId="2" fillId="3" borderId="11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9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/>
    <xf numFmtId="0" fontId="2" fillId="0" borderId="5" xfId="0" applyFont="1" applyBorder="1" applyAlignment="1">
      <alignment horizontal="center"/>
    </xf>
    <xf numFmtId="3" fontId="2" fillId="0" borderId="0" xfId="0" applyNumberFormat="1" applyFont="1" applyProtection="1">
      <protection locked="0"/>
    </xf>
    <xf numFmtId="10" fontId="2" fillId="0" borderId="10" xfId="8" applyNumberFormat="1" applyFont="1" applyFill="1" applyBorder="1" applyProtection="1"/>
    <xf numFmtId="3" fontId="2" fillId="0" borderId="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2" borderId="13" xfId="0" applyFont="1" applyFill="1" applyBorder="1"/>
    <xf numFmtId="0" fontId="2" fillId="8" borderId="9" xfId="0" applyFont="1" applyFill="1" applyBorder="1"/>
    <xf numFmtId="0" fontId="2" fillId="2" borderId="8" xfId="0" applyFont="1" applyFill="1" applyBorder="1"/>
    <xf numFmtId="0" fontId="2" fillId="0" borderId="9" xfId="0" applyFont="1" applyBorder="1"/>
    <xf numFmtId="3" fontId="2" fillId="0" borderId="9" xfId="0" applyNumberFormat="1" applyFont="1" applyBorder="1" applyAlignment="1">
      <alignment horizontal="center"/>
    </xf>
    <xf numFmtId="9" fontId="2" fillId="0" borderId="0" xfId="8" applyFont="1" applyProtection="1">
      <protection locked="0"/>
    </xf>
    <xf numFmtId="3" fontId="2" fillId="0" borderId="12" xfId="0" applyNumberFormat="1" applyFont="1" applyBorder="1" applyAlignment="1">
      <alignment horizontal="center"/>
    </xf>
    <xf numFmtId="0" fontId="2" fillId="0" borderId="8" xfId="0" applyFont="1" applyBorder="1"/>
    <xf numFmtId="0" fontId="2" fillId="8" borderId="5" xfId="0" applyFont="1" applyFill="1" applyBorder="1" applyAlignment="1">
      <alignment horizontal="center"/>
    </xf>
    <xf numFmtId="3" fontId="2" fillId="6" borderId="10" xfId="0" applyNumberFormat="1" applyFont="1" applyFill="1" applyBorder="1"/>
    <xf numFmtId="3" fontId="2" fillId="9" borderId="11" xfId="0" applyNumberFormat="1" applyFont="1" applyFill="1" applyBorder="1"/>
    <xf numFmtId="3" fontId="2" fillId="9" borderId="10" xfId="0" applyNumberFormat="1" applyFont="1" applyFill="1" applyBorder="1"/>
    <xf numFmtId="3" fontId="2" fillId="0" borderId="7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/>
    <xf numFmtId="3" fontId="2" fillId="0" borderId="5" xfId="0" applyNumberFormat="1" applyFont="1" applyBorder="1"/>
    <xf numFmtId="3" fontId="2" fillId="4" borderId="0" xfId="0" applyNumberFormat="1" applyFont="1" applyFill="1"/>
    <xf numFmtId="3" fontId="2" fillId="9" borderId="12" xfId="0" applyNumberFormat="1" applyFont="1" applyFill="1" applyBorder="1"/>
    <xf numFmtId="3" fontId="2" fillId="0" borderId="4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/>
    <xf numFmtId="3" fontId="2" fillId="10" borderId="10" xfId="0" applyNumberFormat="1" applyFont="1" applyFill="1" applyBorder="1"/>
    <xf numFmtId="3" fontId="2" fillId="0" borderId="9" xfId="0" applyNumberFormat="1" applyFont="1" applyBorder="1"/>
    <xf numFmtId="3" fontId="2" fillId="0" borderId="13" xfId="0" applyNumberFormat="1" applyFont="1" applyBorder="1" applyAlignment="1">
      <alignment horizontal="center"/>
    </xf>
    <xf numFmtId="4" fontId="2" fillId="0" borderId="10" xfId="0" applyNumberFormat="1" applyFont="1" applyBorder="1"/>
    <xf numFmtId="4" fontId="2" fillId="0" borderId="0" xfId="0" applyNumberFormat="1" applyFont="1" applyProtection="1">
      <protection locked="0"/>
    </xf>
    <xf numFmtId="3" fontId="2" fillId="0" borderId="11" xfId="0" applyNumberFormat="1" applyFont="1" applyBorder="1"/>
  </cellXfs>
  <cellStyles count="18">
    <cellStyle name="Comma [0]" xfId="1" xr:uid="{00000000-0005-0000-0000-000000000000}"/>
    <cellStyle name="Comma_Ejercicio Declaración de Renta 2005" xfId="2" xr:uid="{00000000-0005-0000-0000-000001000000}"/>
    <cellStyle name="Currency [0]" xfId="3" xr:uid="{00000000-0005-0000-0000-000002000000}"/>
    <cellStyle name="Estilo 1" xfId="4" xr:uid="{00000000-0005-0000-0000-000003000000}"/>
    <cellStyle name="Euro" xfId="5" xr:uid="{00000000-0005-0000-0000-000004000000}"/>
    <cellStyle name="Millares 2" xfId="12" xr:uid="{00000000-0005-0000-0000-000006000000}"/>
    <cellStyle name="Millares 3" xfId="11" xr:uid="{00000000-0005-0000-0000-000007000000}"/>
    <cellStyle name="Moneda 2" xfId="1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4" xfId="14" xr:uid="{00000000-0005-0000-0000-00000C000000}"/>
    <cellStyle name="Normal 5" xfId="10" xr:uid="{00000000-0005-0000-0000-00000D000000}"/>
    <cellStyle name="Normal 6" xfId="16" xr:uid="{00000000-0005-0000-0000-00000E000000}"/>
    <cellStyle name="Normal 9" xfId="17" xr:uid="{00000000-0005-0000-0000-00000F000000}"/>
    <cellStyle name="Porcentaje" xfId="8" builtinId="5"/>
    <cellStyle name="Porcentaje 2" xfId="9" xr:uid="{00000000-0005-0000-0000-000011000000}"/>
    <cellStyle name="Porcentaje 3" xfId="15" xr:uid="{00000000-0005-0000-0000-000012000000}"/>
  </cellStyles>
  <dxfs count="0"/>
  <tableStyles count="0" defaultTableStyle="TableStyleMedium9" defaultPivotStyle="PivotStyleLight16"/>
  <colors>
    <mruColors>
      <color rgb="FF99FF99"/>
      <color rgb="FFFF66FF"/>
      <color rgb="FF99CCFF"/>
      <color rgb="FFCCFFFF"/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fbw0001\users\Documents%20and%20Settings\cocastroma\Escritorio\RUTH\DPA\WINDOWS\TEMP\DECLARCION%20RENTA%20DEF%202003%20DATALOG%2006-04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castroma\Configuraci&#243;n%20local\Archivos%20temporales%20de%20Internet\OLK14\Renta05P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01\Impuestos\AR\RENTA\Nestl&#233;\Renta%2005\Planos%20Renta%2005\Nomina%20Nes%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FBW0000\Users\Ang&#233;lica%20Romero\RENTA\PURINA\Planos%20Renta%2005\Nomina%20Pur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CARÁTULA"/>
      <sheetName val="B-MENU"/>
      <sheetName val="C-INSTRUCCIONES"/>
      <sheetName val="1A- DATOS INICIALES"/>
      <sheetName val="1B- BALANCE"/>
      <sheetName val="2 DECLARACION"/>
      <sheetName val="3A CONTROLES"/>
      <sheetName val="3B-RESUMEN"/>
      <sheetName val="4 CÁLCULOS PRESUNT-ANTICIP."/>
      <sheetName val="5 CAMARA"/>
      <sheetName val="6 IMPTO PATRIMONIO"/>
      <sheetName val="7 SOCIOS O ACCIONISTAS"/>
      <sheetName val="8 Vrs. ABSOLUT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BASE"/>
      <sheetName val="FORMULARIO"/>
      <sheetName val="BALANCE"/>
      <sheetName val="GYP"/>
      <sheetName val="PATRIMONIO"/>
      <sheetName val="RENTA "/>
      <sheetName val="NOMINA DATOS"/>
      <sheetName val="CONPATRI"/>
      <sheetName val="CONRENTA "/>
      <sheetName val="INVERSION"/>
      <sheetName val="PROVISIONES"/>
      <sheetName val="CARTERA"/>
      <sheetName val="IMPUESTOS"/>
      <sheetName val="CORR.MONETARIA"/>
      <sheetName val="CORR.MONETARIA "/>
      <sheetName val="AUTORFTE"/>
      <sheetName val="PRESUNTIVA"/>
      <sheetName val="ANTICIPO"/>
      <sheetName val="ACTIVOS "/>
      <sheetName val="FACTURAS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a5105"/>
      <sheetName val="Cta5205"/>
      <sheetName val="Cta7305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aContabl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5"/>
  <sheetViews>
    <sheetView zoomScaleNormal="100" workbookViewId="0">
      <selection activeCell="F4" sqref="F4"/>
    </sheetView>
  </sheetViews>
  <sheetFormatPr defaultColWidth="11.42578125" defaultRowHeight="12.75"/>
  <cols>
    <col min="1" max="1" width="2.7109375" style="13" customWidth="1"/>
    <col min="2" max="2" width="14.42578125" style="1" customWidth="1"/>
    <col min="3" max="3" width="12.7109375" style="2" customWidth="1"/>
    <col min="4" max="4" width="11.7109375" style="1" customWidth="1"/>
    <col min="5" max="5" width="26.7109375" style="1" customWidth="1"/>
    <col min="6" max="6" width="9.7109375" style="1" customWidth="1"/>
    <col min="7" max="7" width="17.28515625" style="13" customWidth="1"/>
    <col min="8" max="8" width="2.7109375" style="13" customWidth="1"/>
    <col min="9" max="9" width="5.7109375" style="13" customWidth="1"/>
    <col min="10" max="11" width="11" style="13" customWidth="1"/>
    <col min="12" max="16" width="9.7109375" style="13" customWidth="1"/>
    <col min="17" max="16384" width="11.42578125" style="13"/>
  </cols>
  <sheetData>
    <row r="1" spans="1:19">
      <c r="A1"/>
      <c r="B1" s="15" t="s">
        <v>0</v>
      </c>
      <c r="C1" s="15"/>
      <c r="D1" s="15"/>
      <c r="E1" s="15"/>
      <c r="F1" s="16"/>
      <c r="G1"/>
      <c r="H1"/>
    </row>
    <row r="2" spans="1:19">
      <c r="A2"/>
      <c r="B2" s="15" t="s">
        <v>1</v>
      </c>
      <c r="C2" s="15"/>
      <c r="D2" s="15"/>
      <c r="E2" s="15"/>
      <c r="F2" s="16"/>
      <c r="G2"/>
      <c r="H2"/>
    </row>
    <row r="3" spans="1:19">
      <c r="A3"/>
      <c r="B3" s="15" t="s">
        <v>2</v>
      </c>
      <c r="C3" s="15"/>
      <c r="D3" s="15"/>
      <c r="E3" s="15"/>
      <c r="F3" s="16"/>
      <c r="G3"/>
      <c r="H3"/>
    </row>
    <row r="4" spans="1:19">
      <c r="A4"/>
      <c r="B4" s="15" t="s">
        <v>3</v>
      </c>
      <c r="C4" s="15"/>
      <c r="D4" s="15"/>
      <c r="E4" s="15"/>
      <c r="F4" s="16"/>
      <c r="G4" s="17"/>
      <c r="H4" s="17"/>
      <c r="I4" s="14"/>
      <c r="J4" s="14"/>
      <c r="K4" s="14"/>
      <c r="L4" s="14"/>
      <c r="M4" s="14"/>
      <c r="N4" s="14"/>
      <c r="O4" s="14"/>
      <c r="P4" s="14"/>
      <c r="Q4" s="14"/>
    </row>
    <row r="5" spans="1:19" ht="13.5" thickBot="1">
      <c r="A5"/>
      <c r="B5" s="41"/>
      <c r="C5" s="41"/>
      <c r="D5" s="41"/>
      <c r="E5" s="41"/>
      <c r="F5" s="301"/>
      <c r="G5" s="41"/>
      <c r="H5" s="41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>
      <c r="A6"/>
      <c r="B6" s="18"/>
      <c r="C6" s="19"/>
      <c r="D6" s="19"/>
      <c r="E6" s="20"/>
      <c r="F6" s="21" t="s">
        <v>4</v>
      </c>
      <c r="G6" s="41"/>
      <c r="H6" s="17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9" ht="13.5" thickBot="1">
      <c r="A7"/>
      <c r="B7" s="286" t="s">
        <v>5</v>
      </c>
      <c r="C7" s="287"/>
      <c r="D7" s="287"/>
      <c r="E7" s="288"/>
      <c r="F7" s="22" t="s">
        <v>6</v>
      </c>
      <c r="G7" s="41"/>
      <c r="H7" s="17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9">
      <c r="A8"/>
      <c r="B8" s="302"/>
      <c r="C8" s="303"/>
      <c r="D8" s="303"/>
      <c r="E8" s="304"/>
      <c r="F8" s="305"/>
      <c r="G8" s="41"/>
      <c r="H8" s="17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9">
      <c r="A9"/>
      <c r="B9" s="23" t="s">
        <v>7</v>
      </c>
      <c r="C9" s="306"/>
      <c r="D9" s="306"/>
      <c r="E9" s="307"/>
      <c r="F9" s="305">
        <v>1</v>
      </c>
      <c r="G9" s="41"/>
      <c r="H9" s="17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9">
      <c r="A10"/>
      <c r="B10" s="23" t="s">
        <v>8</v>
      </c>
      <c r="C10" s="306"/>
      <c r="D10" s="306"/>
      <c r="E10" s="307"/>
      <c r="F10" s="305">
        <f>+F9+1</f>
        <v>2</v>
      </c>
      <c r="G10" s="41"/>
      <c r="H10"/>
    </row>
    <row r="11" spans="1:19">
      <c r="A11"/>
      <c r="B11" s="23" t="s">
        <v>9</v>
      </c>
      <c r="C11" s="306"/>
      <c r="D11" s="306"/>
      <c r="E11" s="307"/>
      <c r="F11" s="305">
        <f>+F10+1</f>
        <v>3</v>
      </c>
      <c r="G11" s="41"/>
      <c r="H11"/>
    </row>
    <row r="12" spans="1:19">
      <c r="A12"/>
      <c r="B12" s="23" t="s">
        <v>10</v>
      </c>
      <c r="C12" s="306"/>
      <c r="D12" s="306"/>
      <c r="E12" s="307"/>
      <c r="F12" s="305">
        <f t="shared" ref="F12:F17" si="0">+F11+1</f>
        <v>4</v>
      </c>
      <c r="G12" s="41"/>
      <c r="H12"/>
    </row>
    <row r="13" spans="1:19">
      <c r="A13"/>
      <c r="B13" s="23"/>
      <c r="C13" s="306"/>
      <c r="D13" s="306"/>
      <c r="E13" s="307"/>
      <c r="F13" s="305"/>
      <c r="G13" s="41"/>
      <c r="H13"/>
    </row>
    <row r="14" spans="1:19">
      <c r="A14"/>
      <c r="B14" s="23" t="s">
        <v>11</v>
      </c>
      <c r="C14" s="306"/>
      <c r="D14" s="306"/>
      <c r="E14" s="307"/>
      <c r="F14" s="305">
        <f>+F12+1</f>
        <v>5</v>
      </c>
      <c r="G14" s="41"/>
      <c r="H14"/>
    </row>
    <row r="15" spans="1:19">
      <c r="A15"/>
      <c r="B15" s="23" t="s">
        <v>12</v>
      </c>
      <c r="C15" s="306"/>
      <c r="D15" s="306"/>
      <c r="E15" s="307"/>
      <c r="F15" s="305">
        <f t="shared" si="0"/>
        <v>6</v>
      </c>
      <c r="G15" s="41"/>
      <c r="H15"/>
    </row>
    <row r="16" spans="1:19">
      <c r="A16"/>
      <c r="B16" s="23" t="s">
        <v>13</v>
      </c>
      <c r="C16" s="306"/>
      <c r="D16" s="306"/>
      <c r="E16" s="307"/>
      <c r="F16" s="305">
        <f>+F15+1</f>
        <v>7</v>
      </c>
      <c r="G16" s="41"/>
      <c r="H16"/>
    </row>
    <row r="17" spans="1:18">
      <c r="A17"/>
      <c r="B17" s="23" t="s">
        <v>14</v>
      </c>
      <c r="C17" s="306"/>
      <c r="D17" s="306"/>
      <c r="E17" s="307"/>
      <c r="F17" s="305">
        <f t="shared" si="0"/>
        <v>8</v>
      </c>
      <c r="G17" s="41"/>
      <c r="H17"/>
    </row>
    <row r="18" spans="1:18">
      <c r="A18"/>
      <c r="B18" s="23"/>
      <c r="C18" s="306"/>
      <c r="D18" s="306"/>
      <c r="E18" s="307"/>
      <c r="F18" s="305"/>
      <c r="G18" s="41"/>
      <c r="H18"/>
    </row>
    <row r="19" spans="1:18">
      <c r="A19"/>
      <c r="B19" s="23" t="s">
        <v>15</v>
      </c>
      <c r="C19" s="306"/>
      <c r="D19" s="306"/>
      <c r="E19" s="307"/>
      <c r="F19" s="305">
        <f>+F17+1</f>
        <v>9</v>
      </c>
      <c r="G19" s="41"/>
      <c r="H19" s="17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/>
      <c r="B20" s="23"/>
      <c r="C20" s="306"/>
      <c r="D20" s="306"/>
      <c r="E20" s="307"/>
      <c r="F20" s="305"/>
      <c r="G20" s="41"/>
      <c r="H20" s="17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/>
      <c r="B21" s="23" t="s">
        <v>16</v>
      </c>
      <c r="C21" s="306"/>
      <c r="D21" s="306"/>
      <c r="E21" s="307"/>
      <c r="F21" s="305">
        <f>+F19+1</f>
        <v>10</v>
      </c>
      <c r="G21" s="41"/>
      <c r="H21" s="17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/>
      <c r="B22" s="23" t="s">
        <v>17</v>
      </c>
      <c r="C22" s="306"/>
      <c r="D22" s="306"/>
      <c r="E22" s="307"/>
      <c r="F22" s="305">
        <f>+F21+1</f>
        <v>11</v>
      </c>
      <c r="G22" s="41"/>
      <c r="H22"/>
    </row>
    <row r="23" spans="1:18">
      <c r="A23"/>
      <c r="B23" s="23"/>
      <c r="C23" s="306"/>
      <c r="D23" s="306"/>
      <c r="E23" s="307"/>
      <c r="F23" s="305"/>
      <c r="G23" s="41"/>
      <c r="H23"/>
    </row>
    <row r="24" spans="1:18">
      <c r="A24"/>
      <c r="B24" s="23" t="s">
        <v>18</v>
      </c>
      <c r="C24" s="306"/>
      <c r="D24" s="306"/>
      <c r="E24" s="307"/>
      <c r="F24" s="305">
        <f>+F22+1</f>
        <v>12</v>
      </c>
      <c r="G24" s="41"/>
      <c r="H24"/>
    </row>
    <row r="25" spans="1:18" ht="13.5" thickBot="1">
      <c r="A25"/>
      <c r="B25" s="308"/>
      <c r="C25" s="309"/>
      <c r="D25" s="309"/>
      <c r="E25" s="310"/>
      <c r="F25" s="311"/>
      <c r="G25" s="41"/>
      <c r="H25" s="41"/>
    </row>
    <row r="26" spans="1:18">
      <c r="A26"/>
      <c r="B26" s="41"/>
      <c r="C26" s="41"/>
      <c r="D26" s="41"/>
      <c r="E26" s="41"/>
      <c r="F26" s="301"/>
      <c r="G26" s="41"/>
      <c r="H26" s="41"/>
    </row>
    <row r="27" spans="1:18">
      <c r="A27"/>
      <c r="B27" s="41"/>
      <c r="C27" s="41"/>
      <c r="D27" s="41"/>
      <c r="E27" s="41"/>
      <c r="F27" s="301"/>
      <c r="G27" s="41"/>
      <c r="H27" s="41"/>
    </row>
    <row r="28" spans="1:18">
      <c r="A28"/>
      <c r="B28" s="15" t="s">
        <v>19</v>
      </c>
      <c r="C28" s="24">
        <v>47065</v>
      </c>
      <c r="D28" s="25"/>
      <c r="E28"/>
      <c r="F28"/>
      <c r="G28"/>
      <c r="H28"/>
    </row>
    <row r="29" spans="1:18">
      <c r="A29"/>
      <c r="B29" s="41"/>
      <c r="C29" s="301"/>
      <c r="D29" s="41"/>
      <c r="E29" s="41"/>
      <c r="F29" s="41"/>
      <c r="G29"/>
      <c r="H29"/>
    </row>
    <row r="30" spans="1:18">
      <c r="A30"/>
      <c r="B30" s="15" t="str">
        <f>+B3</f>
        <v>DECLARACION DE RENTA AÑO GRAVABLE 2024</v>
      </c>
      <c r="C30" s="301"/>
      <c r="D30" s="41"/>
      <c r="E30" s="41"/>
      <c r="F30" s="41"/>
      <c r="G30"/>
      <c r="H30"/>
    </row>
    <row r="31" spans="1:18">
      <c r="A31"/>
      <c r="B31" s="15" t="s">
        <v>20</v>
      </c>
      <c r="C31" s="301"/>
      <c r="D31" s="41"/>
      <c r="E31" s="41"/>
      <c r="F31" s="41"/>
      <c r="G31"/>
      <c r="H31"/>
    </row>
    <row r="32" spans="1:18">
      <c r="A32"/>
      <c r="B32" s="41"/>
      <c r="C32" s="301"/>
      <c r="D32" s="41"/>
      <c r="E32" s="41"/>
      <c r="F32" s="41"/>
      <c r="G32"/>
      <c r="H32"/>
    </row>
    <row r="33" spans="1:8">
      <c r="A33"/>
      <c r="B33" s="289" t="s">
        <v>21</v>
      </c>
      <c r="C33" s="290"/>
      <c r="D33" s="26" t="s">
        <v>22</v>
      </c>
      <c r="E33" s="27"/>
      <c r="F33" s="28"/>
      <c r="G33" s="29"/>
      <c r="H33"/>
    </row>
    <row r="34" spans="1:8">
      <c r="A34"/>
      <c r="B34" s="30" t="s">
        <v>23</v>
      </c>
      <c r="C34" s="30" t="s">
        <v>24</v>
      </c>
      <c r="D34" s="31" t="s">
        <v>25</v>
      </c>
      <c r="E34" s="283" t="s">
        <v>26</v>
      </c>
      <c r="F34" s="284"/>
      <c r="G34" s="285"/>
      <c r="H34"/>
    </row>
    <row r="35" spans="1:8" ht="25.5" customHeight="1">
      <c r="A35"/>
      <c r="B35" s="34">
        <v>0</v>
      </c>
      <c r="C35" s="34">
        <v>1090</v>
      </c>
      <c r="D35" s="312">
        <v>0</v>
      </c>
      <c r="E35" s="313">
        <v>0</v>
      </c>
      <c r="F35" s="32"/>
      <c r="G35" s="33"/>
      <c r="H35"/>
    </row>
    <row r="36" spans="1:8" ht="25.5" customHeight="1">
      <c r="A36"/>
      <c r="B36" s="34" t="s">
        <v>27</v>
      </c>
      <c r="C36" s="34">
        <v>1700</v>
      </c>
      <c r="D36" s="312">
        <v>0.19</v>
      </c>
      <c r="E36" s="35" t="s">
        <v>28</v>
      </c>
      <c r="F36" s="314"/>
      <c r="G36" s="33"/>
      <c r="H36"/>
    </row>
    <row r="37" spans="1:8" ht="25.5" customHeight="1">
      <c r="A37"/>
      <c r="B37" s="34" t="s">
        <v>29</v>
      </c>
      <c r="C37" s="34">
        <v>4100</v>
      </c>
      <c r="D37" s="312">
        <v>0.28000000000000003</v>
      </c>
      <c r="E37" s="35" t="s">
        <v>30</v>
      </c>
      <c r="F37" s="315"/>
      <c r="G37" s="33"/>
      <c r="H37"/>
    </row>
    <row r="38" spans="1:8" ht="25.5" customHeight="1">
      <c r="A38"/>
      <c r="B38" s="34" t="s">
        <v>31</v>
      </c>
      <c r="C38" s="34">
        <v>8670</v>
      </c>
      <c r="D38" s="312">
        <v>0.33</v>
      </c>
      <c r="E38" s="35" t="s">
        <v>32</v>
      </c>
      <c r="F38" s="315"/>
      <c r="G38" s="33"/>
      <c r="H38"/>
    </row>
    <row r="39" spans="1:8" ht="25.5" customHeight="1">
      <c r="A39"/>
      <c r="B39" s="34" t="s">
        <v>33</v>
      </c>
      <c r="C39" s="34">
        <v>18970</v>
      </c>
      <c r="D39" s="312">
        <v>0.35</v>
      </c>
      <c r="E39" s="35" t="s">
        <v>34</v>
      </c>
      <c r="F39" s="315"/>
      <c r="G39" s="33"/>
      <c r="H39"/>
    </row>
    <row r="40" spans="1:8" ht="25.5" customHeight="1">
      <c r="A40"/>
      <c r="B40" s="34" t="s">
        <v>35</v>
      </c>
      <c r="C40" s="34">
        <v>31000</v>
      </c>
      <c r="D40" s="312">
        <v>0.37</v>
      </c>
      <c r="E40" s="35" t="s">
        <v>36</v>
      </c>
      <c r="F40" s="315"/>
      <c r="G40" s="33"/>
      <c r="H40"/>
    </row>
    <row r="41" spans="1:8" ht="25.5" customHeight="1">
      <c r="A41"/>
      <c r="B41" s="34" t="s">
        <v>37</v>
      </c>
      <c r="C41" s="34" t="s">
        <v>38</v>
      </c>
      <c r="D41" s="312">
        <v>0.39</v>
      </c>
      <c r="E41" s="35" t="s">
        <v>39</v>
      </c>
      <c r="F41" s="315"/>
      <c r="G41" s="33"/>
      <c r="H41"/>
    </row>
    <row r="42" spans="1:8">
      <c r="A42"/>
      <c r="B42"/>
      <c r="C42"/>
      <c r="D42"/>
      <c r="E42"/>
      <c r="F42"/>
      <c r="G42"/>
      <c r="H42"/>
    </row>
    <row r="43" spans="1:8">
      <c r="B43" s="13"/>
      <c r="C43" s="13"/>
      <c r="D43" s="13"/>
      <c r="E43" s="13"/>
      <c r="F43" s="13"/>
    </row>
    <row r="44" spans="1:8">
      <c r="B44" s="3"/>
      <c r="C44" s="10"/>
      <c r="D44" s="3"/>
      <c r="E44" s="3"/>
      <c r="F44" s="3"/>
    </row>
    <row r="45" spans="1:8">
      <c r="B45" s="3"/>
      <c r="C45" s="10"/>
      <c r="D45" s="3"/>
      <c r="E45" s="3"/>
      <c r="F45" s="3"/>
    </row>
  </sheetData>
  <sheetProtection algorithmName="SHA-512" hashValue="5YckONoJORufts7x7zetBti68TremQjvLJ7UyjdJBe6rNFIXPH/S8OOiZo3dYs5fcWLnBt1ld67kGlGk0iOf4w==" saltValue="yzd8/EA/+rwAVA0tiqM7JA==" spinCount="100000" sheet="1" objects="1" scenarios="1"/>
  <mergeCells count="3">
    <mergeCell ref="E34:G34"/>
    <mergeCell ref="B7:E7"/>
    <mergeCell ref="B33:C33"/>
  </mergeCells>
  <phoneticPr fontId="6" type="noConversion"/>
  <printOptions horizontalCentered="1" verticalCentered="1"/>
  <pageMargins left="0.59055118110236227" right="0.59055118110236227" top="0.59055118110236227" bottom="0.39370078740157483" header="0.51181102362204722" footer="0.51181102362204722"/>
  <pageSetup scale="87"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F24 B30 F10:F12 F14:F17 F19 F21:F2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05BA-D090-4477-B771-833B6EFE1288}">
  <sheetPr>
    <pageSetUpPr fitToPage="1"/>
  </sheetPr>
  <dimension ref="A1:I39"/>
  <sheetViews>
    <sheetView workbookViewId="0">
      <selection activeCell="F3" sqref="F3"/>
    </sheetView>
  </sheetViews>
  <sheetFormatPr defaultColWidth="11.42578125" defaultRowHeight="12"/>
  <cols>
    <col min="1" max="1" width="1.7109375" style="11" customWidth="1"/>
    <col min="2" max="2" width="17.7109375" style="11" customWidth="1"/>
    <col min="3" max="3" width="15.7109375" style="11" customWidth="1"/>
    <col min="4" max="4" width="17" style="11" bestFit="1" customWidth="1"/>
    <col min="5" max="5" width="12.42578125" style="11" customWidth="1"/>
    <col min="6" max="6" width="12.140625" style="11" bestFit="1" customWidth="1"/>
    <col min="7" max="7" width="1" style="11" customWidth="1"/>
    <col min="8" max="8" width="12.28515625" style="11" bestFit="1" customWidth="1"/>
    <col min="9" max="9" width="0.85546875" style="11" customWidth="1"/>
    <col min="10" max="16384" width="11.42578125" style="11"/>
  </cols>
  <sheetData>
    <row r="1" spans="1:9">
      <c r="A1" s="229"/>
      <c r="B1" s="230" t="str">
        <f>+'ANEXOS - TABLA'!B1</f>
        <v>JORGE ENRIQUE CUÉLLAR GARCÍA</v>
      </c>
      <c r="C1" s="229"/>
      <c r="D1" s="229"/>
      <c r="E1" s="229"/>
      <c r="F1" s="229"/>
      <c r="G1" s="229"/>
      <c r="H1" s="229"/>
      <c r="I1" s="229"/>
    </row>
    <row r="2" spans="1:9">
      <c r="A2" s="229"/>
      <c r="B2" s="230" t="str">
        <f>+'ANEXOS - TABLA'!B2</f>
        <v>NIT 79.378.917 - 5</v>
      </c>
      <c r="C2" s="229"/>
      <c r="D2" s="229"/>
      <c r="E2" s="229"/>
      <c r="F2" s="229"/>
      <c r="G2" s="229"/>
      <c r="H2" s="229"/>
      <c r="I2" s="229"/>
    </row>
    <row r="3" spans="1:9">
      <c r="A3" s="229"/>
      <c r="B3" s="230" t="str">
        <f>+'ANEXOS - TABLA'!B3</f>
        <v>DECLARACION DE RENTA AÑO GRAVABLE 2024</v>
      </c>
      <c r="C3" s="48"/>
      <c r="D3" s="48"/>
      <c r="E3" s="69"/>
      <c r="F3" s="49" t="s">
        <v>342</v>
      </c>
      <c r="G3" s="229"/>
      <c r="H3" s="229"/>
      <c r="I3" s="229"/>
    </row>
    <row r="4" spans="1:9">
      <c r="A4" s="229"/>
      <c r="B4" s="50" t="s">
        <v>17</v>
      </c>
      <c r="C4" s="48"/>
      <c r="D4" s="48"/>
      <c r="E4" s="48"/>
      <c r="F4" s="48"/>
      <c r="G4" s="229"/>
      <c r="H4" s="229"/>
      <c r="I4" s="229"/>
    </row>
    <row r="5" spans="1:9" ht="12.75" thickBot="1">
      <c r="A5" s="229"/>
      <c r="B5" s="48"/>
      <c r="C5" s="48"/>
      <c r="D5" s="48"/>
      <c r="E5" s="69"/>
      <c r="F5" s="69"/>
      <c r="G5" s="229"/>
      <c r="H5" s="229"/>
      <c r="I5" s="229"/>
    </row>
    <row r="6" spans="1:9">
      <c r="A6" s="229"/>
      <c r="B6" s="231"/>
      <c r="C6" s="232"/>
      <c r="D6" s="232"/>
      <c r="E6" s="233"/>
      <c r="F6" s="234"/>
      <c r="G6" s="235"/>
      <c r="H6" s="229"/>
      <c r="I6" s="229"/>
    </row>
    <row r="7" spans="1:9">
      <c r="A7" s="229"/>
      <c r="B7" s="236"/>
      <c r="C7" s="237"/>
      <c r="D7" s="237"/>
      <c r="E7" s="154" t="s">
        <v>343</v>
      </c>
      <c r="F7" s="238" t="s">
        <v>344</v>
      </c>
      <c r="G7" s="239"/>
      <c r="H7" s="229"/>
      <c r="I7" s="229"/>
    </row>
    <row r="8" spans="1:9">
      <c r="A8" s="229"/>
      <c r="B8" s="59"/>
      <c r="C8" s="48"/>
      <c r="D8" s="48"/>
      <c r="E8" s="66"/>
      <c r="F8" s="69"/>
      <c r="G8" s="240"/>
      <c r="H8" s="229"/>
      <c r="I8" s="229"/>
    </row>
    <row r="9" spans="1:9">
      <c r="A9" s="229"/>
      <c r="B9" s="59" t="s">
        <v>345</v>
      </c>
      <c r="C9" s="47"/>
      <c r="D9" s="48"/>
      <c r="E9" s="74"/>
      <c r="F9" s="69">
        <f>+'10. Impto - Pago'!D86</f>
        <v>50330000</v>
      </c>
      <c r="G9" s="240"/>
      <c r="H9" s="229"/>
      <c r="I9" s="229"/>
    </row>
    <row r="10" spans="1:9">
      <c r="A10" s="229"/>
      <c r="B10" s="59" t="s">
        <v>346</v>
      </c>
      <c r="C10" s="47"/>
      <c r="D10" s="48"/>
      <c r="E10" s="70">
        <f>+'10. Impto - Pago'!F44</f>
        <v>91416000</v>
      </c>
      <c r="F10" s="241">
        <f>+E10</f>
        <v>91416000</v>
      </c>
      <c r="G10" s="240"/>
      <c r="H10" s="229"/>
      <c r="I10" s="229"/>
    </row>
    <row r="11" spans="1:9">
      <c r="A11" s="229"/>
      <c r="B11" s="59" t="s">
        <v>344</v>
      </c>
      <c r="C11" s="48"/>
      <c r="D11" s="48"/>
      <c r="E11" s="66">
        <f>+E10</f>
        <v>91416000</v>
      </c>
      <c r="F11" s="69">
        <f>(F9+F10)/2</f>
        <v>70873000</v>
      </c>
      <c r="G11" s="240"/>
      <c r="H11" s="229"/>
      <c r="I11" s="229"/>
    </row>
    <row r="12" spans="1:9">
      <c r="A12" s="229"/>
      <c r="B12" s="73"/>
      <c r="C12" s="47"/>
      <c r="D12" s="47"/>
      <c r="E12" s="66"/>
      <c r="F12" s="69"/>
      <c r="G12" s="240"/>
      <c r="H12" s="229"/>
      <c r="I12" s="229"/>
    </row>
    <row r="13" spans="1:9">
      <c r="A13" s="229"/>
      <c r="B13" s="59" t="s">
        <v>347</v>
      </c>
      <c r="C13" s="47"/>
      <c r="D13" s="47"/>
      <c r="E13" s="66">
        <f>+E11*75%</f>
        <v>68562000</v>
      </c>
      <c r="F13" s="69">
        <f>+F11*75%</f>
        <v>53154750</v>
      </c>
      <c r="G13" s="240"/>
      <c r="H13" s="229"/>
      <c r="I13" s="229"/>
    </row>
    <row r="14" spans="1:9">
      <c r="A14" s="229"/>
      <c r="B14" s="59" t="s">
        <v>348</v>
      </c>
      <c r="C14" s="47"/>
      <c r="D14" s="47"/>
      <c r="E14" s="70">
        <f>-'10. Impto - Pago'!F57</f>
        <v>-53046000</v>
      </c>
      <c r="F14" s="241">
        <f>+E14</f>
        <v>-53046000</v>
      </c>
      <c r="G14" s="240"/>
      <c r="H14" s="229"/>
      <c r="I14" s="229"/>
    </row>
    <row r="15" spans="1:9">
      <c r="A15" s="229"/>
      <c r="B15" s="59"/>
      <c r="C15" s="47"/>
      <c r="D15" s="47"/>
      <c r="E15" s="66"/>
      <c r="F15" s="69"/>
      <c r="G15" s="240"/>
      <c r="H15" s="229"/>
      <c r="I15" s="229"/>
    </row>
    <row r="16" spans="1:9" ht="12.75" thickBot="1">
      <c r="A16" s="229"/>
      <c r="B16" s="73" t="s">
        <v>349</v>
      </c>
      <c r="C16" s="47"/>
      <c r="D16" s="47"/>
      <c r="E16" s="242">
        <f>IF((E13+E14)&gt;0,E13+E14,0)</f>
        <v>15516000</v>
      </c>
      <c r="F16" s="243">
        <f>IF((F13+F14)&gt;0,F13+F14,0)</f>
        <v>108750</v>
      </c>
      <c r="G16" s="240"/>
      <c r="H16" s="229"/>
      <c r="I16" s="229"/>
    </row>
    <row r="17" spans="1:9" ht="12.75" thickTop="1">
      <c r="A17" s="229"/>
      <c r="B17" s="73"/>
      <c r="C17" s="47"/>
      <c r="D17" s="47"/>
      <c r="E17" s="66"/>
      <c r="F17" s="69"/>
      <c r="G17" s="240"/>
      <c r="H17" s="229"/>
      <c r="I17" s="229"/>
    </row>
    <row r="18" spans="1:9" ht="12.75" thickBot="1">
      <c r="A18" s="229"/>
      <c r="B18" s="73" t="s">
        <v>350</v>
      </c>
      <c r="C18" s="47"/>
      <c r="D18" s="47"/>
      <c r="E18" s="242">
        <f>IF(E16&lt;F16,E16,F16)</f>
        <v>108750</v>
      </c>
      <c r="F18" s="69"/>
      <c r="G18" s="240"/>
      <c r="H18" s="229"/>
      <c r="I18" s="229"/>
    </row>
    <row r="19" spans="1:9" ht="13.5" thickTop="1" thickBot="1">
      <c r="A19" s="229"/>
      <c r="B19" s="78"/>
      <c r="C19" s="244"/>
      <c r="D19" s="244"/>
      <c r="E19" s="82"/>
      <c r="F19" s="81"/>
      <c r="G19" s="245"/>
      <c r="H19" s="229"/>
      <c r="I19" s="229"/>
    </row>
    <row r="20" spans="1:9">
      <c r="A20" s="229"/>
      <c r="B20" s="229"/>
      <c r="C20" s="229"/>
      <c r="D20" s="229"/>
      <c r="E20" s="229"/>
      <c r="F20" s="229"/>
      <c r="G20" s="229"/>
      <c r="H20" s="229"/>
      <c r="I20" s="229"/>
    </row>
    <row r="21" spans="1:9">
      <c r="A21" s="229"/>
      <c r="B21" s="229"/>
      <c r="C21" s="229"/>
      <c r="D21" s="229"/>
      <c r="E21" s="229"/>
      <c r="F21" s="229"/>
      <c r="G21" s="229"/>
      <c r="H21" s="229"/>
      <c r="I21" s="229"/>
    </row>
    <row r="22" spans="1:9">
      <c r="A22" s="229"/>
      <c r="B22" s="229"/>
      <c r="C22" s="229"/>
      <c r="D22" s="229"/>
      <c r="E22" s="229"/>
      <c r="F22" s="229"/>
      <c r="G22" s="229"/>
      <c r="H22" s="229"/>
      <c r="I22" s="229"/>
    </row>
    <row r="23" spans="1:9">
      <c r="A23" s="229"/>
      <c r="B23" s="246" t="str">
        <f>+B1</f>
        <v>JORGE ENRIQUE CUÉLLAR GARCÍA</v>
      </c>
      <c r="C23" s="246"/>
      <c r="D23" s="246"/>
      <c r="E23" s="247"/>
      <c r="F23" s="247"/>
      <c r="G23" s="229"/>
      <c r="H23" s="229"/>
      <c r="I23" s="229"/>
    </row>
    <row r="24" spans="1:9">
      <c r="A24" s="229"/>
      <c r="B24" s="246" t="str">
        <f>+B2</f>
        <v>NIT 79.378.917 - 5</v>
      </c>
      <c r="C24" s="246"/>
      <c r="D24" s="246"/>
      <c r="E24" s="247"/>
      <c r="F24" s="247"/>
      <c r="G24" s="229"/>
      <c r="H24" s="229"/>
      <c r="I24" s="229"/>
    </row>
    <row r="25" spans="1:9">
      <c r="A25" s="229"/>
      <c r="B25" s="246" t="s">
        <v>18</v>
      </c>
      <c r="C25" s="246"/>
      <c r="D25" s="246"/>
      <c r="E25" s="247"/>
      <c r="F25" s="248" t="s">
        <v>351</v>
      </c>
      <c r="G25" s="229"/>
      <c r="H25" s="229"/>
      <c r="I25" s="229"/>
    </row>
    <row r="26" spans="1:9" ht="12.75" thickBot="1">
      <c r="A26" s="229"/>
      <c r="B26" s="229"/>
      <c r="C26" s="229"/>
      <c r="D26" s="229"/>
      <c r="E26" s="247"/>
      <c r="F26" s="247"/>
      <c r="G26" s="229"/>
      <c r="H26" s="229"/>
      <c r="I26" s="229"/>
    </row>
    <row r="27" spans="1:9" ht="24" customHeight="1">
      <c r="A27" s="229"/>
      <c r="B27" s="249" t="s">
        <v>352</v>
      </c>
      <c r="C27" s="250" t="s">
        <v>353</v>
      </c>
      <c r="D27" s="251" t="s">
        <v>354</v>
      </c>
      <c r="E27" s="299" t="s">
        <v>355</v>
      </c>
      <c r="F27" s="300"/>
      <c r="G27" s="253"/>
      <c r="H27" s="252" t="s">
        <v>356</v>
      </c>
      <c r="I27" s="254"/>
    </row>
    <row r="28" spans="1:9">
      <c r="A28" s="229"/>
      <c r="B28" s="255"/>
      <c r="C28" s="256"/>
      <c r="D28" s="257"/>
      <c r="E28" s="258"/>
      <c r="F28" s="259"/>
      <c r="G28" s="260"/>
      <c r="H28" s="257"/>
      <c r="I28" s="261"/>
    </row>
    <row r="29" spans="1:9">
      <c r="A29" s="229"/>
      <c r="B29" s="262" t="s">
        <v>357</v>
      </c>
      <c r="C29" s="263" t="s">
        <v>358</v>
      </c>
      <c r="D29" s="229" t="s">
        <v>359</v>
      </c>
      <c r="E29" s="264" t="s">
        <v>360</v>
      </c>
      <c r="F29" s="247"/>
      <c r="G29" s="265"/>
      <c r="H29" s="266">
        <f>+'1. Patrimonio - 2. CxC'!E10</f>
        <v>1569396000</v>
      </c>
      <c r="I29" s="240"/>
    </row>
    <row r="30" spans="1:9">
      <c r="A30" s="229"/>
      <c r="B30" s="262"/>
      <c r="C30" s="263"/>
      <c r="D30" s="229"/>
      <c r="E30" s="264"/>
      <c r="F30" s="247"/>
      <c r="G30" s="265"/>
      <c r="H30" s="266"/>
      <c r="I30" s="240"/>
    </row>
    <row r="31" spans="1:9">
      <c r="A31" s="229"/>
      <c r="B31" s="262" t="s">
        <v>361</v>
      </c>
      <c r="C31" s="263" t="s">
        <v>362</v>
      </c>
      <c r="D31" s="229" t="s">
        <v>363</v>
      </c>
      <c r="E31" s="264" t="s">
        <v>179</v>
      </c>
      <c r="F31" s="247"/>
      <c r="G31" s="265"/>
      <c r="H31" s="266">
        <f>ROUND(+'3. Inversiones'!F25,-3)</f>
        <v>275491000</v>
      </c>
      <c r="I31" s="240"/>
    </row>
    <row r="32" spans="1:9">
      <c r="A32" s="229"/>
      <c r="B32" s="262"/>
      <c r="C32" s="263"/>
      <c r="D32" s="229"/>
      <c r="E32" s="264"/>
      <c r="F32" s="247"/>
      <c r="G32" s="265"/>
      <c r="H32" s="266"/>
      <c r="I32" s="240"/>
    </row>
    <row r="33" spans="1:9">
      <c r="A33" s="229"/>
      <c r="B33" s="262" t="s">
        <v>364</v>
      </c>
      <c r="C33" s="263" t="s">
        <v>362</v>
      </c>
      <c r="D33" s="229" t="s">
        <v>365</v>
      </c>
      <c r="E33" s="264" t="s">
        <v>179</v>
      </c>
      <c r="F33" s="247"/>
      <c r="G33" s="265"/>
      <c r="H33" s="266">
        <f>+'4. Activos Fijos'!H13</f>
        <v>810192000</v>
      </c>
      <c r="I33" s="240"/>
    </row>
    <row r="34" spans="1:9">
      <c r="A34" s="229"/>
      <c r="B34" s="262"/>
      <c r="C34" s="263"/>
      <c r="D34" s="229"/>
      <c r="E34" s="264"/>
      <c r="F34" s="247"/>
      <c r="G34" s="265"/>
      <c r="H34" s="266"/>
      <c r="I34" s="240"/>
    </row>
    <row r="35" spans="1:9" ht="12.75" thickBot="1">
      <c r="A35" s="229"/>
      <c r="B35" s="262"/>
      <c r="C35" s="263"/>
      <c r="D35" s="229"/>
      <c r="E35" s="267" t="s">
        <v>366</v>
      </c>
      <c r="F35" s="230"/>
      <c r="G35" s="268"/>
      <c r="H35" s="269">
        <f>SUM(H28:H34)</f>
        <v>2655079000</v>
      </c>
      <c r="I35" s="240"/>
    </row>
    <row r="36" spans="1:9" ht="13.5" thickTop="1" thickBot="1">
      <c r="A36" s="229"/>
      <c r="B36" s="270"/>
      <c r="C36" s="271"/>
      <c r="D36" s="272"/>
      <c r="E36" s="273"/>
      <c r="F36" s="272"/>
      <c r="G36" s="274"/>
      <c r="H36" s="275"/>
      <c r="I36" s="245"/>
    </row>
    <row r="37" spans="1:9">
      <c r="H37" s="12"/>
    </row>
    <row r="38" spans="1:9">
      <c r="H38" s="12"/>
    </row>
    <row r="39" spans="1:9">
      <c r="H39" s="12"/>
    </row>
  </sheetData>
  <sheetProtection algorithmName="SHA-512" hashValue="lOfcyfm5xmXwjr2gtNb4FsW62/7xYK4pN8iYZPzW2IBJ5eT/gAjmg2gChRYHl2u8dK+bgj43s0emnSiQtxOsjQ==" saltValue="bFMgkuVMSJbiLfYUx+Ts3Q==" spinCount="100000" sheet="1" objects="1" scenarios="1"/>
  <mergeCells count="1">
    <mergeCell ref="E27:F27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E9:F18 B1:B4 B23:B24 H34:H35 H33 H29 H30 H32 H3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68"/>
  <sheetViews>
    <sheetView tabSelected="1" zoomScaleNormal="100" workbookViewId="0">
      <selection activeCell="D23" sqref="D23"/>
    </sheetView>
  </sheetViews>
  <sheetFormatPr defaultColWidth="11.42578125" defaultRowHeight="12.75"/>
  <cols>
    <col min="1" max="1" width="1.7109375" style="1" customWidth="1"/>
    <col min="2" max="2" width="3.7109375" style="1" customWidth="1"/>
    <col min="3" max="3" width="38.7109375" style="1" customWidth="1"/>
    <col min="4" max="4" width="12.42578125" style="1" customWidth="1"/>
    <col min="5" max="5" width="13.5703125" style="1" customWidth="1"/>
    <col min="6" max="6" width="12.7109375" style="1" customWidth="1"/>
    <col min="7" max="7" width="10" style="2" bestFit="1" customWidth="1"/>
    <col min="8" max="8" width="10.7109375" style="1" customWidth="1"/>
    <col min="9" max="16384" width="11.42578125" style="1"/>
  </cols>
  <sheetData>
    <row r="1" spans="1:8">
      <c r="A1" s="41"/>
      <c r="B1" s="15" t="str">
        <f>+'ANEXOS - TABLA'!B1</f>
        <v>JORGE ENRIQUE CUÉLLAR GARCÍA</v>
      </c>
      <c r="C1" s="41"/>
      <c r="D1" s="41"/>
      <c r="E1" s="41"/>
      <c r="F1" s="41"/>
      <c r="G1" s="301"/>
      <c r="H1" s="41"/>
    </row>
    <row r="2" spans="1:8">
      <c r="A2" s="41"/>
      <c r="B2" s="15" t="str">
        <f>+'ANEXOS - TABLA'!B2</f>
        <v>NIT 79.378.917 - 5</v>
      </c>
      <c r="C2" s="41"/>
      <c r="D2" s="41"/>
      <c r="E2" s="41"/>
      <c r="F2" s="41"/>
      <c r="G2" s="301"/>
      <c r="H2" s="41"/>
    </row>
    <row r="3" spans="1:8">
      <c r="A3" s="41"/>
      <c r="B3" s="15" t="str">
        <f>+'ANEXOS - TABLA'!B3</f>
        <v>DECLARACION DE RENTA AÑO GRAVABLE 2024</v>
      </c>
      <c r="C3" s="41"/>
      <c r="D3" s="41"/>
      <c r="E3" s="41"/>
      <c r="F3" s="16" t="s">
        <v>40</v>
      </c>
      <c r="G3" s="301"/>
      <c r="H3" s="41"/>
    </row>
    <row r="4" spans="1:8">
      <c r="A4" s="41"/>
      <c r="B4" s="15" t="s">
        <v>7</v>
      </c>
      <c r="C4" s="41"/>
      <c r="D4" s="41"/>
      <c r="E4" s="41"/>
      <c r="F4" s="41"/>
      <c r="G4" s="301"/>
      <c r="H4" s="41"/>
    </row>
    <row r="5" spans="1:8">
      <c r="A5" s="41"/>
      <c r="B5" s="15"/>
      <c r="C5" s="41"/>
      <c r="D5" s="41"/>
      <c r="E5" s="41"/>
      <c r="F5" s="41"/>
      <c r="G5" s="301"/>
      <c r="H5" s="41"/>
    </row>
    <row r="6" spans="1:8">
      <c r="A6" s="41"/>
      <c r="B6" s="316"/>
      <c r="C6" s="123"/>
      <c r="D6" s="317"/>
      <c r="E6" s="317"/>
      <c r="F6" s="36" t="s">
        <v>41</v>
      </c>
      <c r="G6" s="318"/>
      <c r="H6" s="41"/>
    </row>
    <row r="7" spans="1:8">
      <c r="A7" s="41"/>
      <c r="B7" s="319"/>
      <c r="C7" s="127"/>
      <c r="D7" s="37" t="s">
        <v>42</v>
      </c>
      <c r="E7" s="37" t="s">
        <v>43</v>
      </c>
      <c r="F7" s="37" t="s">
        <v>44</v>
      </c>
      <c r="G7" s="38" t="s">
        <v>45</v>
      </c>
      <c r="H7" s="16"/>
    </row>
    <row r="8" spans="1:8">
      <c r="A8" s="41"/>
      <c r="B8" s="39"/>
      <c r="C8" s="41"/>
      <c r="D8" s="130"/>
      <c r="E8" s="130"/>
      <c r="F8" s="130"/>
      <c r="G8" s="320"/>
      <c r="H8" s="41"/>
    </row>
    <row r="9" spans="1:8">
      <c r="A9" s="41"/>
      <c r="B9" s="39" t="s">
        <v>46</v>
      </c>
      <c r="C9" s="41"/>
      <c r="D9" s="40"/>
      <c r="E9" s="40">
        <v>11068000</v>
      </c>
      <c r="F9" s="194"/>
      <c r="G9" s="320"/>
      <c r="H9" s="41"/>
    </row>
    <row r="10" spans="1:8">
      <c r="A10" s="41"/>
      <c r="B10" s="39" t="s">
        <v>47</v>
      </c>
      <c r="C10" s="41"/>
      <c r="D10" s="40"/>
      <c r="E10" s="40">
        <f>400000*3923.49</f>
        <v>1569396000</v>
      </c>
      <c r="F10" s="194"/>
      <c r="G10" s="320"/>
      <c r="H10" s="41"/>
    </row>
    <row r="11" spans="1:8">
      <c r="A11" s="41"/>
      <c r="B11" s="39" t="s">
        <v>48</v>
      </c>
      <c r="C11" s="41"/>
      <c r="D11" s="40"/>
      <c r="E11" s="40">
        <v>537380000</v>
      </c>
      <c r="F11" s="194"/>
      <c r="G11" s="320"/>
      <c r="H11" s="41"/>
    </row>
    <row r="12" spans="1:8">
      <c r="A12" s="41"/>
      <c r="B12" s="39"/>
      <c r="C12" s="41"/>
      <c r="D12" s="40"/>
      <c r="E12" s="40"/>
      <c r="F12" s="194"/>
      <c r="G12" s="320"/>
      <c r="H12" s="41"/>
    </row>
    <row r="13" spans="1:8">
      <c r="A13" s="41"/>
      <c r="B13" s="39" t="s">
        <v>49</v>
      </c>
      <c r="C13" s="41"/>
      <c r="D13" s="40"/>
      <c r="E13" s="40">
        <f>SUM(D14:D19)</f>
        <v>303015000</v>
      </c>
      <c r="F13" s="194"/>
      <c r="G13" s="320"/>
      <c r="H13" s="41"/>
    </row>
    <row r="14" spans="1:8">
      <c r="A14" s="41"/>
      <c r="B14" s="39"/>
      <c r="C14" s="41" t="s">
        <v>50</v>
      </c>
      <c r="D14" s="40">
        <v>237011000</v>
      </c>
      <c r="E14" s="40"/>
      <c r="F14" s="194"/>
      <c r="G14" s="320"/>
      <c r="H14" s="41"/>
    </row>
    <row r="15" spans="1:8">
      <c r="A15" s="41"/>
      <c r="B15" s="39"/>
      <c r="C15" s="41" t="s">
        <v>51</v>
      </c>
      <c r="D15" s="40">
        <f>+'5. Trabajo'!D36+'5. Trabajo'!H36+'6. Cap y No Lab'!D43</f>
        <v>61117000</v>
      </c>
      <c r="E15" s="40"/>
      <c r="F15" s="194"/>
      <c r="G15" s="320"/>
      <c r="H15" s="41"/>
    </row>
    <row r="16" spans="1:8">
      <c r="A16" s="41"/>
      <c r="B16" s="39"/>
      <c r="C16" s="41" t="s">
        <v>52</v>
      </c>
      <c r="D16" s="40">
        <f>-'6. Cap y No Lab'!H17</f>
        <v>0</v>
      </c>
      <c r="E16" s="40"/>
      <c r="F16" s="194"/>
      <c r="G16" s="320"/>
      <c r="H16" s="41"/>
    </row>
    <row r="17" spans="1:11">
      <c r="A17" s="41"/>
      <c r="B17" s="39"/>
      <c r="C17" s="41" t="s">
        <v>53</v>
      </c>
      <c r="D17" s="40">
        <v>-19500000</v>
      </c>
      <c r="E17" s="40"/>
      <c r="F17" s="194"/>
      <c r="G17" s="320"/>
      <c r="H17" s="41"/>
      <c r="I17" s="3"/>
      <c r="J17" s="3"/>
      <c r="K17" s="3"/>
    </row>
    <row r="18" spans="1:11">
      <c r="A18" s="41"/>
      <c r="B18" s="39"/>
      <c r="C18" s="41" t="s">
        <v>54</v>
      </c>
      <c r="D18" s="196">
        <f>ROUND((D14*9%)+(D15*5%),-3)</f>
        <v>24387000</v>
      </c>
      <c r="E18" s="40"/>
      <c r="F18" s="194"/>
      <c r="G18" s="320"/>
      <c r="H18" s="41"/>
      <c r="I18" s="3"/>
      <c r="J18" s="3"/>
      <c r="K18" s="3"/>
    </row>
    <row r="19" spans="1:11">
      <c r="A19" s="41"/>
      <c r="B19" s="39"/>
      <c r="C19" s="41"/>
      <c r="D19" s="194"/>
      <c r="E19" s="40"/>
      <c r="F19" s="194"/>
      <c r="G19" s="320"/>
      <c r="H19" s="41"/>
      <c r="I19" s="3"/>
      <c r="J19" s="3"/>
      <c r="K19" s="3"/>
    </row>
    <row r="20" spans="1:11">
      <c r="A20" s="41"/>
      <c r="B20" s="39" t="s">
        <v>55</v>
      </c>
      <c r="C20" s="41"/>
      <c r="D20" s="194"/>
      <c r="E20" s="40">
        <f>SUM(D21:D24)</f>
        <v>38020000</v>
      </c>
      <c r="F20" s="194"/>
      <c r="G20" s="320"/>
      <c r="H20" s="41"/>
      <c r="I20" s="3"/>
      <c r="J20" s="3"/>
      <c r="K20" s="321"/>
    </row>
    <row r="21" spans="1:11">
      <c r="A21" s="41"/>
      <c r="B21" s="39"/>
      <c r="C21" s="41" t="s">
        <v>50</v>
      </c>
      <c r="D21" s="194">
        <v>51620000</v>
      </c>
      <c r="E21" s="40"/>
      <c r="F21" s="194"/>
      <c r="G21" s="320"/>
      <c r="H21" s="41"/>
      <c r="I21" s="3"/>
      <c r="J21" s="3"/>
      <c r="K21" s="321"/>
    </row>
    <row r="22" spans="1:11">
      <c r="A22" s="41"/>
      <c r="B22" s="39"/>
      <c r="C22" s="41" t="s">
        <v>56</v>
      </c>
      <c r="D22" s="194">
        <f>+'5. Trabajo'!D14</f>
        <v>11400000</v>
      </c>
      <c r="E22" s="40"/>
      <c r="F22" s="194"/>
      <c r="G22" s="320"/>
      <c r="H22" s="41"/>
      <c r="I22" s="3"/>
      <c r="J22" s="3"/>
      <c r="K22" s="321"/>
    </row>
    <row r="23" spans="1:11">
      <c r="A23" s="41"/>
      <c r="B23" s="39"/>
      <c r="C23" s="41" t="s">
        <v>57</v>
      </c>
      <c r="D23" s="196">
        <f>-'5. Trabajo'!D15</f>
        <v>-25000000</v>
      </c>
      <c r="E23" s="40"/>
      <c r="F23" s="194"/>
      <c r="G23" s="320"/>
      <c r="H23" s="41"/>
      <c r="I23" s="3"/>
      <c r="J23" s="3"/>
      <c r="K23" s="321"/>
    </row>
    <row r="24" spans="1:11">
      <c r="A24" s="41"/>
      <c r="B24" s="39"/>
      <c r="C24" s="41"/>
      <c r="D24" s="194"/>
      <c r="E24" s="40"/>
      <c r="F24" s="194"/>
      <c r="G24" s="320"/>
      <c r="H24" s="41"/>
      <c r="I24" s="3"/>
      <c r="J24" s="3"/>
      <c r="K24" s="3"/>
    </row>
    <row r="25" spans="1:11">
      <c r="A25" s="41"/>
      <c r="B25" s="39" t="s">
        <v>58</v>
      </c>
      <c r="C25" s="41"/>
      <c r="D25" s="194"/>
      <c r="E25" s="40">
        <f>+D26*D27</f>
        <v>729235390.5</v>
      </c>
      <c r="F25" s="194"/>
      <c r="G25" s="320"/>
      <c r="H25" s="41"/>
      <c r="I25" s="3"/>
      <c r="J25" s="3"/>
      <c r="K25" s="3"/>
    </row>
    <row r="26" spans="1:11">
      <c r="A26" s="41"/>
      <c r="B26" s="39"/>
      <c r="C26" s="41" t="s">
        <v>59</v>
      </c>
      <c r="D26" s="194">
        <v>690237000</v>
      </c>
      <c r="E26" s="40"/>
      <c r="F26" s="194"/>
      <c r="G26" s="320"/>
      <c r="H26" s="41"/>
      <c r="I26" s="3"/>
      <c r="J26" s="3"/>
      <c r="K26" s="3"/>
    </row>
    <row r="27" spans="1:11">
      <c r="A27" s="41"/>
      <c r="B27" s="39"/>
      <c r="C27" s="41" t="s">
        <v>60</v>
      </c>
      <c r="D27" s="322">
        <v>1.0565</v>
      </c>
      <c r="E27" s="40"/>
      <c r="F27" s="194"/>
      <c r="G27" s="320"/>
      <c r="H27" s="41"/>
      <c r="I27" s="3"/>
      <c r="J27" s="3"/>
      <c r="K27" s="3"/>
    </row>
    <row r="28" spans="1:11">
      <c r="A28" s="41"/>
      <c r="B28" s="39"/>
      <c r="C28" s="41"/>
      <c r="D28" s="322"/>
      <c r="E28" s="40"/>
      <c r="F28" s="194"/>
      <c r="G28" s="320"/>
      <c r="H28" s="41"/>
      <c r="I28" s="3"/>
      <c r="J28" s="3"/>
      <c r="K28" s="3"/>
    </row>
    <row r="29" spans="1:11">
      <c r="A29" s="41"/>
      <c r="B29" s="39" t="s">
        <v>61</v>
      </c>
      <c r="C29" s="41"/>
      <c r="D29" s="194"/>
      <c r="E29" s="40">
        <f>SUM(D29:D31)</f>
        <v>119000000</v>
      </c>
      <c r="F29" s="194"/>
      <c r="G29" s="320"/>
      <c r="H29" s="41"/>
      <c r="I29" s="3"/>
      <c r="J29" s="3"/>
      <c r="K29" s="3"/>
    </row>
    <row r="30" spans="1:11">
      <c r="A30" s="41"/>
      <c r="B30" s="39"/>
      <c r="C30" s="41" t="str">
        <f>+'3. Inversiones'!B17</f>
        <v>García Hermanos S.A.S.</v>
      </c>
      <c r="D30" s="194">
        <f>+F62</f>
        <v>119000000</v>
      </c>
      <c r="E30" s="40"/>
      <c r="F30" s="194"/>
      <c r="G30" s="320"/>
      <c r="H30" s="41"/>
      <c r="I30" s="3"/>
      <c r="J30" s="3"/>
      <c r="K30" s="3"/>
    </row>
    <row r="31" spans="1:11">
      <c r="A31" s="41"/>
      <c r="B31" s="39"/>
      <c r="C31" s="41"/>
      <c r="D31" s="194"/>
      <c r="E31" s="40"/>
      <c r="F31" s="194"/>
      <c r="G31" s="320"/>
      <c r="H31" s="41"/>
      <c r="I31" s="3"/>
      <c r="J31" s="3"/>
      <c r="K31" s="3"/>
    </row>
    <row r="32" spans="1:11">
      <c r="A32" s="41"/>
      <c r="B32" s="39" t="s">
        <v>62</v>
      </c>
      <c r="C32" s="41"/>
      <c r="D32" s="322"/>
      <c r="E32" s="40">
        <f>+'3. Inversiones'!F29</f>
        <v>494470631.21019107</v>
      </c>
      <c r="F32" s="194"/>
      <c r="G32" s="320"/>
      <c r="H32" s="41"/>
      <c r="I32" s="3"/>
      <c r="J32" s="3"/>
      <c r="K32" s="3"/>
    </row>
    <row r="33" spans="1:10">
      <c r="A33" s="41"/>
      <c r="B33" s="39"/>
      <c r="C33" s="41"/>
      <c r="D33" s="322"/>
      <c r="E33" s="40"/>
      <c r="F33" s="194"/>
      <c r="G33" s="320"/>
      <c r="H33" s="41"/>
      <c r="I33" s="3"/>
      <c r="J33" s="3"/>
    </row>
    <row r="34" spans="1:10">
      <c r="A34" s="41"/>
      <c r="B34" s="39" t="s">
        <v>63</v>
      </c>
      <c r="C34" s="41"/>
      <c r="D34" s="194"/>
      <c r="E34" s="40">
        <f>+'4. Activos Fijos'!H16</f>
        <v>1905813621</v>
      </c>
      <c r="F34" s="194"/>
      <c r="G34" s="320"/>
      <c r="H34" s="41"/>
      <c r="I34" s="3"/>
      <c r="J34" s="3"/>
    </row>
    <row r="35" spans="1:10">
      <c r="A35" s="41"/>
      <c r="B35" s="39" t="s">
        <v>64</v>
      </c>
      <c r="C35" s="41"/>
      <c r="D35" s="194"/>
      <c r="E35" s="40">
        <f>+'4. Activos Fijos'!H25</f>
        <v>127600000</v>
      </c>
      <c r="F35" s="194"/>
      <c r="G35" s="201"/>
      <c r="H35" s="216"/>
      <c r="I35" s="3"/>
      <c r="J35" s="10"/>
    </row>
    <row r="36" spans="1:10">
      <c r="A36" s="41"/>
      <c r="B36" s="39"/>
      <c r="C36" s="41"/>
      <c r="D36" s="194"/>
      <c r="E36" s="40"/>
      <c r="F36" s="194"/>
      <c r="G36" s="201"/>
      <c r="H36" s="216"/>
      <c r="I36" s="3"/>
      <c r="J36" s="10"/>
    </row>
    <row r="37" spans="1:10">
      <c r="A37" s="41"/>
      <c r="B37" s="42" t="s">
        <v>65</v>
      </c>
      <c r="C37" s="15"/>
      <c r="D37" s="43"/>
      <c r="E37" s="44">
        <f>SUM(E8:E36)</f>
        <v>5834998642.7101917</v>
      </c>
      <c r="F37" s="45">
        <f>ROUND(E37,-3)</f>
        <v>5834999000</v>
      </c>
      <c r="G37" s="201">
        <v>29</v>
      </c>
      <c r="H37" s="216"/>
      <c r="I37" s="3"/>
      <c r="J37" s="10"/>
    </row>
    <row r="38" spans="1:10">
      <c r="A38" s="41"/>
      <c r="B38" s="39"/>
      <c r="C38" s="41"/>
      <c r="D38" s="194"/>
      <c r="E38" s="194"/>
      <c r="F38" s="194"/>
      <c r="G38" s="201"/>
      <c r="H38" s="216"/>
      <c r="I38" s="3"/>
      <c r="J38" s="10"/>
    </row>
    <row r="39" spans="1:10">
      <c r="A39" s="41"/>
      <c r="B39" s="39" t="s">
        <v>66</v>
      </c>
      <c r="C39" s="41"/>
      <c r="D39" s="194"/>
      <c r="E39" s="194"/>
      <c r="F39" s="194"/>
      <c r="G39" s="201"/>
      <c r="H39" s="216"/>
      <c r="I39" s="3"/>
      <c r="J39" s="10"/>
    </row>
    <row r="40" spans="1:10">
      <c r="A40" s="41"/>
      <c r="B40" s="39"/>
      <c r="C40" s="41" t="s">
        <v>67</v>
      </c>
      <c r="D40" s="194"/>
      <c r="E40" s="40">
        <v>4938000</v>
      </c>
      <c r="F40" s="194"/>
      <c r="G40" s="201"/>
      <c r="H40" s="216"/>
      <c r="I40" s="3"/>
      <c r="J40" s="10"/>
    </row>
    <row r="41" spans="1:10">
      <c r="A41" s="41"/>
      <c r="B41" s="39"/>
      <c r="C41" s="41" t="s">
        <v>68</v>
      </c>
      <c r="D41" s="194"/>
      <c r="E41" s="40">
        <f>107300000-((1940000*12)-15132000)</f>
        <v>99152000</v>
      </c>
      <c r="F41" s="194"/>
      <c r="G41" s="201"/>
      <c r="H41" s="216"/>
      <c r="I41" s="3"/>
      <c r="J41" s="10"/>
    </row>
    <row r="42" spans="1:10">
      <c r="A42" s="41"/>
      <c r="B42" s="39"/>
      <c r="C42" s="41" t="s">
        <v>69</v>
      </c>
      <c r="D42" s="194"/>
      <c r="E42" s="40">
        <v>58000000</v>
      </c>
      <c r="F42" s="194"/>
      <c r="G42" s="201"/>
      <c r="H42" s="216"/>
      <c r="I42" s="3"/>
      <c r="J42" s="10"/>
    </row>
    <row r="43" spans="1:10">
      <c r="A43" s="41"/>
      <c r="B43" s="39"/>
      <c r="C43" s="41"/>
      <c r="D43" s="194"/>
      <c r="E43" s="194"/>
      <c r="F43" s="194"/>
      <c r="G43" s="201"/>
      <c r="H43" s="216"/>
      <c r="I43" s="3"/>
      <c r="J43" s="10"/>
    </row>
    <row r="44" spans="1:10">
      <c r="A44" s="41"/>
      <c r="B44" s="42" t="s">
        <v>70</v>
      </c>
      <c r="C44" s="41"/>
      <c r="D44" s="194"/>
      <c r="E44" s="44">
        <f>SUM(E40:E43)</f>
        <v>162090000</v>
      </c>
      <c r="F44" s="45">
        <f>ROUND(E44,-3)</f>
        <v>162090000</v>
      </c>
      <c r="G44" s="201">
        <f>+G37+1</f>
        <v>30</v>
      </c>
      <c r="H44" s="216"/>
      <c r="I44" s="3"/>
      <c r="J44" s="10"/>
    </row>
    <row r="45" spans="1:10">
      <c r="A45" s="41"/>
      <c r="B45" s="39"/>
      <c r="C45" s="41"/>
      <c r="D45" s="194"/>
      <c r="E45" s="194"/>
      <c r="F45" s="194"/>
      <c r="G45" s="201"/>
      <c r="H45" s="216"/>
      <c r="I45" s="3"/>
      <c r="J45" s="10"/>
    </row>
    <row r="46" spans="1:10" ht="13.5" thickBot="1">
      <c r="A46" s="41"/>
      <c r="B46" s="42" t="s">
        <v>71</v>
      </c>
      <c r="C46" s="15"/>
      <c r="D46" s="194"/>
      <c r="E46" s="46"/>
      <c r="F46" s="46">
        <f>+F37-F44</f>
        <v>5672909000</v>
      </c>
      <c r="G46" s="201">
        <f>+G44+1</f>
        <v>31</v>
      </c>
      <c r="H46" s="216"/>
      <c r="I46" s="3"/>
      <c r="J46" s="10"/>
    </row>
    <row r="47" spans="1:10" ht="13.5" thickTop="1">
      <c r="A47" s="41"/>
      <c r="B47" s="223"/>
      <c r="C47" s="139"/>
      <c r="D47" s="196"/>
      <c r="E47" s="196"/>
      <c r="F47" s="196"/>
      <c r="G47" s="323"/>
      <c r="H47" s="216"/>
      <c r="I47" s="3"/>
      <c r="J47" s="10"/>
    </row>
    <row r="48" spans="1:10">
      <c r="A48" s="41"/>
      <c r="B48" s="41"/>
      <c r="C48" s="41"/>
      <c r="D48" s="216"/>
      <c r="E48" s="216"/>
      <c r="F48" s="216"/>
      <c r="G48" s="324"/>
      <c r="H48" s="216"/>
      <c r="I48" s="3"/>
      <c r="J48" s="10"/>
    </row>
    <row r="49" spans="1:10">
      <c r="A49" s="41"/>
      <c r="B49" s="41"/>
      <c r="C49" s="41"/>
      <c r="D49" s="216"/>
      <c r="E49" s="216"/>
      <c r="F49" s="216"/>
      <c r="G49" s="324"/>
      <c r="H49" s="216"/>
      <c r="I49" s="3"/>
      <c r="J49" s="10"/>
    </row>
    <row r="50" spans="1:10">
      <c r="A50" s="41"/>
      <c r="B50" s="41"/>
      <c r="C50" s="41"/>
      <c r="D50" s="41"/>
      <c r="E50" s="41"/>
      <c r="F50" s="41"/>
      <c r="G50" s="301"/>
      <c r="H50" s="41"/>
      <c r="I50" s="3"/>
      <c r="J50" s="3"/>
    </row>
    <row r="51" spans="1:10">
      <c r="A51" s="41"/>
      <c r="B51" s="47" t="str">
        <f>+'ANEXOS - TABLA'!B1</f>
        <v>JORGE ENRIQUE CUÉLLAR GARCÍA</v>
      </c>
      <c r="C51" s="48"/>
      <c r="D51" s="47"/>
      <c r="E51" s="47"/>
      <c r="F51" s="47"/>
      <c r="G51" s="47"/>
      <c r="H51" s="41"/>
      <c r="I51" s="3"/>
      <c r="J51" s="3"/>
    </row>
    <row r="52" spans="1:10">
      <c r="A52" s="41"/>
      <c r="B52" s="47" t="str">
        <f>+'ANEXOS - TABLA'!B2</f>
        <v>NIT 79.378.917 - 5</v>
      </c>
      <c r="C52" s="48"/>
      <c r="D52" s="48"/>
      <c r="E52" s="48"/>
      <c r="F52" s="48"/>
      <c r="G52" s="48"/>
      <c r="H52" s="41"/>
      <c r="I52" s="3"/>
      <c r="J52" s="3"/>
    </row>
    <row r="53" spans="1:10">
      <c r="A53" s="41"/>
      <c r="B53" s="47" t="str">
        <f>+'ANEXOS - TABLA'!B3</f>
        <v>DECLARACION DE RENTA AÑO GRAVABLE 2024</v>
      </c>
      <c r="C53" s="48"/>
      <c r="D53" s="47"/>
      <c r="E53" s="47"/>
      <c r="F53" s="49" t="s">
        <v>72</v>
      </c>
      <c r="G53" s="47"/>
      <c r="H53" s="41"/>
      <c r="I53" s="3"/>
      <c r="J53" s="3"/>
    </row>
    <row r="54" spans="1:10">
      <c r="A54" s="41"/>
      <c r="B54" s="50" t="s">
        <v>8</v>
      </c>
      <c r="C54" s="48"/>
      <c r="D54" s="47"/>
      <c r="E54" s="47"/>
      <c r="F54" s="47"/>
      <c r="G54" s="47"/>
      <c r="H54" s="41"/>
      <c r="I54" s="3"/>
      <c r="J54" s="3"/>
    </row>
    <row r="55" spans="1:10" ht="13.5" thickBot="1">
      <c r="A55" s="41"/>
      <c r="B55" s="48"/>
      <c r="C55" s="48"/>
      <c r="D55" s="48"/>
      <c r="E55" s="48"/>
      <c r="F55" s="48"/>
      <c r="G55" s="48"/>
      <c r="H55" s="41"/>
      <c r="I55" s="3"/>
      <c r="J55" s="3"/>
    </row>
    <row r="56" spans="1:10">
      <c r="A56" s="41"/>
      <c r="B56" s="51"/>
      <c r="C56" s="52"/>
      <c r="D56" s="53"/>
      <c r="E56" s="53" t="s">
        <v>73</v>
      </c>
      <c r="F56" s="53"/>
      <c r="G56" s="54"/>
      <c r="H56" s="55"/>
      <c r="I56" s="3"/>
      <c r="J56" s="3"/>
    </row>
    <row r="57" spans="1:10">
      <c r="A57" s="41"/>
      <c r="B57" s="291" t="s">
        <v>74</v>
      </c>
      <c r="C57" s="292"/>
      <c r="D57" s="56" t="s">
        <v>75</v>
      </c>
      <c r="E57" s="56" t="s">
        <v>76</v>
      </c>
      <c r="F57" s="56" t="s">
        <v>77</v>
      </c>
      <c r="G57" s="57" t="s">
        <v>78</v>
      </c>
      <c r="H57" s="58" t="s">
        <v>79</v>
      </c>
      <c r="I57" s="3"/>
      <c r="J57" s="3"/>
    </row>
    <row r="58" spans="1:10">
      <c r="A58" s="41"/>
      <c r="B58" s="59"/>
      <c r="C58" s="48"/>
      <c r="D58" s="60"/>
      <c r="E58" s="49"/>
      <c r="F58" s="60"/>
      <c r="G58" s="61"/>
      <c r="H58" s="62"/>
      <c r="I58" s="3"/>
      <c r="J58" s="3"/>
    </row>
    <row r="59" spans="1:10">
      <c r="A59" s="41"/>
      <c r="B59" s="59"/>
      <c r="C59" s="63" t="str">
        <f>+'3. Inversiones'!B17</f>
        <v>García Hermanos S.A.S.</v>
      </c>
      <c r="D59" s="64">
        <v>45383</v>
      </c>
      <c r="E59" s="65">
        <v>86000000</v>
      </c>
      <c r="F59" s="66">
        <f>+E59</f>
        <v>86000000</v>
      </c>
      <c r="G59" s="67">
        <f>+(E66/12)*9</f>
        <v>9.517500000000001E-2</v>
      </c>
      <c r="H59" s="68">
        <f>+E59*G59</f>
        <v>8185050.0000000009</v>
      </c>
      <c r="I59" s="3"/>
      <c r="J59" s="3"/>
    </row>
    <row r="60" spans="1:10">
      <c r="A60" s="41"/>
      <c r="B60" s="59"/>
      <c r="C60" s="48"/>
      <c r="D60" s="64">
        <v>45504</v>
      </c>
      <c r="E60" s="69">
        <v>33000000</v>
      </c>
      <c r="F60" s="70">
        <f>+F59+E60</f>
        <v>119000000</v>
      </c>
      <c r="G60" s="67">
        <f>+(E66/12)*5</f>
        <v>5.2875000000000005E-2</v>
      </c>
      <c r="H60" s="71">
        <f>+E60*G60</f>
        <v>1744875.0000000002</v>
      </c>
      <c r="I60" s="3"/>
      <c r="J60" s="3"/>
    </row>
    <row r="61" spans="1:10">
      <c r="A61" s="41"/>
      <c r="B61" s="59"/>
      <c r="C61" s="48"/>
      <c r="D61" s="72"/>
      <c r="E61" s="66"/>
      <c r="F61" s="69"/>
      <c r="G61" s="67"/>
      <c r="H61" s="68" t="s">
        <v>80</v>
      </c>
      <c r="I61" s="3"/>
      <c r="J61" s="3"/>
    </row>
    <row r="62" spans="1:10" ht="13.5" thickBot="1">
      <c r="A62" s="41"/>
      <c r="B62" s="73" t="s">
        <v>43</v>
      </c>
      <c r="C62" s="47"/>
      <c r="D62" s="74"/>
      <c r="E62" s="69"/>
      <c r="F62" s="75">
        <f>+F60</f>
        <v>119000000</v>
      </c>
      <c r="G62" s="76"/>
      <c r="H62" s="77">
        <f>SUM(H58:H61)</f>
        <v>9929925.0000000019</v>
      </c>
      <c r="I62" s="3"/>
      <c r="J62" s="3"/>
    </row>
    <row r="63" spans="1:10" ht="14.25" thickTop="1" thickBot="1">
      <c r="A63" s="41"/>
      <c r="B63" s="78"/>
      <c r="C63" s="79"/>
      <c r="D63" s="80"/>
      <c r="E63" s="81" t="s">
        <v>80</v>
      </c>
      <c r="F63" s="82"/>
      <c r="G63" s="83"/>
      <c r="H63" s="84" t="s">
        <v>80</v>
      </c>
      <c r="I63" s="3"/>
      <c r="J63" s="3"/>
    </row>
    <row r="64" spans="1:10">
      <c r="A64" s="41"/>
      <c r="B64" s="85"/>
      <c r="C64" s="86" t="s">
        <v>81</v>
      </c>
      <c r="D64" s="87"/>
      <c r="E64" s="88"/>
      <c r="F64" s="88"/>
      <c r="G64" s="89"/>
      <c r="H64" s="90"/>
      <c r="I64" s="3"/>
      <c r="J64" s="3"/>
    </row>
    <row r="65" spans="1:8">
      <c r="A65" s="41"/>
      <c r="B65" s="59"/>
      <c r="C65" s="48" t="s">
        <v>82</v>
      </c>
      <c r="D65" s="48"/>
      <c r="E65" s="69"/>
      <c r="F65" s="69"/>
      <c r="G65" s="76"/>
      <c r="H65" s="91"/>
    </row>
    <row r="66" spans="1:8">
      <c r="A66" s="41"/>
      <c r="B66" s="59"/>
      <c r="C66" s="48" t="s">
        <v>83</v>
      </c>
      <c r="D66" s="48"/>
      <c r="E66" s="92">
        <v>0.12690000000000001</v>
      </c>
      <c r="F66" s="41"/>
      <c r="G66" s="93"/>
      <c r="H66" s="91"/>
    </row>
    <row r="67" spans="1:8" ht="13.5" thickBot="1">
      <c r="A67" s="41"/>
      <c r="B67" s="94"/>
      <c r="C67" s="95"/>
      <c r="D67" s="79"/>
      <c r="E67" s="81"/>
      <c r="F67" s="81"/>
      <c r="G67" s="96"/>
      <c r="H67" s="97"/>
    </row>
    <row r="68" spans="1:8">
      <c r="A68" s="3"/>
      <c r="B68" s="3"/>
      <c r="C68" s="3"/>
      <c r="D68" s="3"/>
      <c r="E68" s="3"/>
      <c r="F68" s="3"/>
      <c r="G68" s="3"/>
      <c r="H68" s="325"/>
    </row>
  </sheetData>
  <sheetProtection algorithmName="SHA-512" hashValue="cy3E7AghHFUboTsDXsIs0yMvLJuQnESpJToOoPBbI2DPsJQqXvS6t9Utpf+K4tganxoSPE866TpLwoHhkrkflg==" saltValue="meRbp/fd911+vXWvwHgE6Q==" spinCount="100000" sheet="1" objects="1" scenarios="1"/>
  <mergeCells count="1">
    <mergeCell ref="B57:C57"/>
  </mergeCells>
  <phoneticPr fontId="0" type="noConversion"/>
  <printOptions horizontalCentered="1" verticalCentered="1"/>
  <pageMargins left="0.78740157480314965" right="0.78740157480314965" top="0.59055118110236227" bottom="0.59055118110236227" header="0" footer="0"/>
  <pageSetup scale="84" orientation="portrait" horizontalDpi="4294967292" r:id="rId1"/>
  <headerFooter alignWithMargins="0"/>
  <ignoredErrors>
    <ignoredError sqref="B1:B4 F18:F46 G44:G46 B51:H58 C28:E39 C24:E25 D22:E23 E21 C10:E10 E14 D15:E16 C12:E13 C26 E26:E27 C11:D11 C41:E46 C40:D40 B61:H63 B59:C60 E59:H60 C18:E20 F6:F9 F10:F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7"/>
  <sheetViews>
    <sheetView workbookViewId="0">
      <selection activeCell="G10" sqref="G10"/>
    </sheetView>
  </sheetViews>
  <sheetFormatPr defaultColWidth="11.42578125" defaultRowHeight="12.75"/>
  <cols>
    <col min="1" max="1" width="1.7109375" style="3" customWidth="1"/>
    <col min="2" max="3" width="15.7109375" style="3" customWidth="1"/>
    <col min="4" max="4" width="10.42578125" style="3" bestFit="1" customWidth="1"/>
    <col min="5" max="6" width="11.28515625" style="3" bestFit="1" customWidth="1"/>
    <col min="7" max="7" width="11" style="3" customWidth="1"/>
    <col min="8" max="8" width="4.85546875" style="3" bestFit="1" customWidth="1"/>
    <col min="9" max="16384" width="11.42578125" style="3"/>
  </cols>
  <sheetData>
    <row r="1" spans="1:8">
      <c r="A1" s="41"/>
      <c r="B1" s="15" t="str">
        <f>+'ANEXOS - TABLA'!B1</f>
        <v>JORGE ENRIQUE CUÉLLAR GARCÍA</v>
      </c>
      <c r="C1" s="41"/>
      <c r="D1" s="41"/>
      <c r="E1" s="41"/>
      <c r="F1" s="41"/>
      <c r="G1" s="41"/>
      <c r="H1" s="41"/>
    </row>
    <row r="2" spans="1:8">
      <c r="A2" s="41"/>
      <c r="B2" s="15" t="str">
        <f>+'ANEXOS - TABLA'!B2</f>
        <v>NIT 79.378.917 - 5</v>
      </c>
      <c r="C2" s="41"/>
      <c r="D2" s="41"/>
      <c r="E2" s="41"/>
      <c r="F2" s="41"/>
      <c r="G2" s="41"/>
      <c r="H2" s="41"/>
    </row>
    <row r="3" spans="1:8">
      <c r="A3" s="41"/>
      <c r="B3" s="15" t="str">
        <f>+'ANEXOS - TABLA'!B3</f>
        <v>DECLARACION DE RENTA AÑO GRAVABLE 2024</v>
      </c>
      <c r="C3" s="41"/>
      <c r="D3" s="41"/>
      <c r="E3" s="41"/>
      <c r="F3" s="41"/>
      <c r="G3" s="16" t="s">
        <v>84</v>
      </c>
      <c r="H3" s="41"/>
    </row>
    <row r="4" spans="1:8">
      <c r="A4" s="41"/>
      <c r="B4" s="98" t="s">
        <v>9</v>
      </c>
      <c r="C4" s="41"/>
      <c r="D4" s="41"/>
      <c r="E4" s="41"/>
      <c r="F4" s="41"/>
      <c r="G4" s="41"/>
      <c r="H4" s="41"/>
    </row>
    <row r="5" spans="1:8">
      <c r="A5" s="41"/>
      <c r="B5" s="99"/>
      <c r="C5" s="41"/>
      <c r="D5" s="41"/>
      <c r="E5" s="41"/>
      <c r="F5" s="41"/>
      <c r="G5" s="41"/>
      <c r="H5" s="41"/>
    </row>
    <row r="6" spans="1:8">
      <c r="A6" s="41"/>
      <c r="B6" s="100"/>
      <c r="C6" s="101"/>
      <c r="D6" s="102"/>
      <c r="E6" s="102" t="s">
        <v>85</v>
      </c>
      <c r="F6" s="102" t="s">
        <v>86</v>
      </c>
      <c r="G6" s="102" t="s">
        <v>86</v>
      </c>
      <c r="H6" s="41"/>
    </row>
    <row r="7" spans="1:8">
      <c r="A7" s="41"/>
      <c r="B7" s="103" t="s">
        <v>87</v>
      </c>
      <c r="C7" s="104"/>
      <c r="D7" s="105" t="s">
        <v>88</v>
      </c>
      <c r="E7" s="106">
        <v>0.10970000000000001</v>
      </c>
      <c r="F7" s="105" t="s">
        <v>89</v>
      </c>
      <c r="G7" s="105" t="s">
        <v>90</v>
      </c>
      <c r="H7" s="41"/>
    </row>
    <row r="8" spans="1:8">
      <c r="A8" s="41"/>
      <c r="B8" s="39"/>
      <c r="C8" s="41"/>
      <c r="D8" s="107"/>
      <c r="E8" s="107"/>
      <c r="F8" s="108"/>
      <c r="G8" s="107"/>
      <c r="H8" s="41"/>
    </row>
    <row r="9" spans="1:8">
      <c r="A9" s="41"/>
      <c r="B9" s="109" t="s">
        <v>91</v>
      </c>
      <c r="C9" s="41"/>
      <c r="D9" s="107"/>
      <c r="E9" s="107"/>
      <c r="F9" s="108"/>
      <c r="G9" s="107"/>
      <c r="H9" s="41"/>
    </row>
    <row r="10" spans="1:8">
      <c r="A10" s="41"/>
      <c r="B10" s="42"/>
      <c r="C10" s="41"/>
      <c r="D10" s="107"/>
      <c r="E10" s="107"/>
      <c r="F10" s="108"/>
      <c r="G10" s="107"/>
      <c r="H10" s="41"/>
    </row>
    <row r="11" spans="1:8">
      <c r="A11" s="41"/>
      <c r="B11" s="39" t="s">
        <v>92</v>
      </c>
      <c r="C11" s="41"/>
      <c r="D11" s="107">
        <v>37000</v>
      </c>
      <c r="E11" s="107"/>
      <c r="F11" s="108">
        <f>+D11*3200</f>
        <v>118400000</v>
      </c>
      <c r="G11" s="110">
        <f>+F11/D11</f>
        <v>3200</v>
      </c>
      <c r="H11" s="41"/>
    </row>
    <row r="12" spans="1:8">
      <c r="A12" s="41"/>
      <c r="B12" s="111" t="s">
        <v>93</v>
      </c>
      <c r="C12" s="41"/>
      <c r="D12" s="112">
        <v>25800</v>
      </c>
      <c r="E12" s="112"/>
      <c r="F12" s="112">
        <f>+D12*4100</f>
        <v>105780000</v>
      </c>
      <c r="G12" s="113">
        <f>+F12/D12</f>
        <v>4100</v>
      </c>
      <c r="H12" s="41"/>
    </row>
    <row r="13" spans="1:8">
      <c r="A13" s="41"/>
      <c r="B13" s="111" t="s">
        <v>94</v>
      </c>
      <c r="C13" s="41"/>
      <c r="D13" s="107">
        <f>SUM(D11:D12)</f>
        <v>62800</v>
      </c>
      <c r="E13" s="107"/>
      <c r="F13" s="107">
        <f>SUM(F11:F12)</f>
        <v>224180000</v>
      </c>
      <c r="G13" s="110">
        <f>+F13/D13</f>
        <v>3569.7452229299365</v>
      </c>
      <c r="H13" s="114" t="s">
        <v>95</v>
      </c>
    </row>
    <row r="14" spans="1:8">
      <c r="A14" s="41"/>
      <c r="B14" s="111" t="s">
        <v>96</v>
      </c>
      <c r="C14" s="41"/>
      <c r="D14" s="107">
        <f>-D35</f>
        <v>-17000</v>
      </c>
      <c r="E14" s="107"/>
      <c r="F14" s="107">
        <f>+D14*G13</f>
        <v>-60685668.789808922</v>
      </c>
      <c r="G14" s="110">
        <f>+F14/D14</f>
        <v>3569.7452229299365</v>
      </c>
      <c r="H14" s="41"/>
    </row>
    <row r="15" spans="1:8">
      <c r="A15" s="41"/>
      <c r="B15" s="111" t="s">
        <v>97</v>
      </c>
      <c r="C15" s="41"/>
      <c r="D15" s="115">
        <f>SUM(D13:D14)</f>
        <v>45800</v>
      </c>
      <c r="E15" s="115"/>
      <c r="F15" s="115">
        <f>SUM(F13:F14)</f>
        <v>163494331.21019107</v>
      </c>
      <c r="G15" s="116">
        <f>+F15/D15</f>
        <v>3569.7452229299361</v>
      </c>
      <c r="H15" s="41"/>
    </row>
    <row r="16" spans="1:8">
      <c r="A16" s="41"/>
      <c r="B16" s="111"/>
      <c r="C16" s="41"/>
      <c r="D16" s="107"/>
      <c r="E16" s="107"/>
      <c r="F16" s="108"/>
      <c r="G16" s="110"/>
      <c r="H16" s="41"/>
    </row>
    <row r="17" spans="1:8">
      <c r="A17" s="41"/>
      <c r="B17" s="109" t="s">
        <v>98</v>
      </c>
      <c r="C17" s="41"/>
      <c r="D17" s="107"/>
      <c r="E17" s="107"/>
      <c r="F17" s="108"/>
      <c r="G17" s="110"/>
      <c r="H17" s="41"/>
    </row>
    <row r="18" spans="1:8">
      <c r="A18" s="41"/>
      <c r="B18" s="111"/>
      <c r="C18" s="41"/>
      <c r="D18" s="107"/>
      <c r="E18" s="107"/>
      <c r="F18" s="108"/>
      <c r="G18" s="110"/>
      <c r="H18" s="41"/>
    </row>
    <row r="19" spans="1:8">
      <c r="A19" s="41"/>
      <c r="B19" s="39" t="str">
        <f>+B11</f>
        <v>Saldo inical (31-12-23)</v>
      </c>
      <c r="C19" s="41"/>
      <c r="D19" s="107">
        <v>5000</v>
      </c>
      <c r="E19" s="107"/>
      <c r="F19" s="108">
        <v>50000000</v>
      </c>
      <c r="G19" s="110">
        <f>+F19/D19</f>
        <v>10000</v>
      </c>
      <c r="H19" s="41"/>
    </row>
    <row r="20" spans="1:8">
      <c r="A20" s="41"/>
      <c r="B20" s="39" t="s">
        <v>99</v>
      </c>
      <c r="C20" s="41"/>
      <c r="D20" s="107"/>
      <c r="E20" s="107">
        <f>+F19*E7</f>
        <v>5485000</v>
      </c>
      <c r="F20" s="108">
        <f>+F19+E20</f>
        <v>55485000</v>
      </c>
      <c r="G20" s="110"/>
      <c r="H20" s="41"/>
    </row>
    <row r="21" spans="1:8">
      <c r="A21" s="41"/>
      <c r="B21" s="39" t="str">
        <f>+B15</f>
        <v>Saldo al 31-12-24</v>
      </c>
      <c r="C21" s="41"/>
      <c r="D21" s="115">
        <f>SUM(D19:D20)</f>
        <v>5000</v>
      </c>
      <c r="E21" s="115">
        <f>+E20</f>
        <v>5485000</v>
      </c>
      <c r="F21" s="117">
        <f>SUM(F20:F20)</f>
        <v>55485000</v>
      </c>
      <c r="G21" s="116">
        <f>+F21/D21</f>
        <v>11097</v>
      </c>
      <c r="H21" s="41"/>
    </row>
    <row r="22" spans="1:8">
      <c r="A22" s="41"/>
      <c r="B22" s="39"/>
      <c r="C22" s="41"/>
      <c r="D22" s="107"/>
      <c r="E22" s="107"/>
      <c r="F22" s="108"/>
      <c r="G22" s="110"/>
      <c r="H22" s="41"/>
    </row>
    <row r="23" spans="1:8">
      <c r="A23" s="41"/>
      <c r="B23" s="109" t="s">
        <v>100</v>
      </c>
      <c r="C23" s="41"/>
      <c r="D23" s="107"/>
      <c r="E23" s="107"/>
      <c r="F23" s="108"/>
      <c r="G23" s="110"/>
      <c r="H23" s="41"/>
    </row>
    <row r="24" spans="1:8">
      <c r="A24" s="41"/>
      <c r="B24" s="39"/>
      <c r="C24" s="41"/>
      <c r="D24" s="107"/>
      <c r="E24" s="107"/>
      <c r="F24" s="108"/>
      <c r="G24" s="110"/>
      <c r="H24" s="41"/>
    </row>
    <row r="25" spans="1:8">
      <c r="A25" s="41"/>
      <c r="B25" s="39" t="s">
        <v>101</v>
      </c>
      <c r="C25" s="41"/>
      <c r="D25" s="107">
        <v>700</v>
      </c>
      <c r="E25" s="107"/>
      <c r="F25" s="108">
        <f>D25*100*3935.59</f>
        <v>275491300</v>
      </c>
      <c r="G25" s="110"/>
      <c r="H25" s="41"/>
    </row>
    <row r="26" spans="1:8">
      <c r="A26" s="41"/>
      <c r="B26" s="39"/>
      <c r="C26" s="41"/>
      <c r="D26" s="107"/>
      <c r="E26" s="107"/>
      <c r="F26" s="108"/>
      <c r="G26" s="110"/>
      <c r="H26" s="41"/>
    </row>
    <row r="27" spans="1:8">
      <c r="A27" s="41"/>
      <c r="B27" s="39" t="str">
        <f>+B21</f>
        <v>Saldo al 31-12-24</v>
      </c>
      <c r="C27" s="41"/>
      <c r="D27" s="115">
        <f>SUM(D25:D26)</f>
        <v>700</v>
      </c>
      <c r="E27" s="115">
        <f>SUM(E25:E26)</f>
        <v>0</v>
      </c>
      <c r="F27" s="115">
        <f>SUM(F25:F26)</f>
        <v>275491300</v>
      </c>
      <c r="G27" s="116">
        <f>+F27/D27</f>
        <v>393559</v>
      </c>
      <c r="H27" s="41"/>
    </row>
    <row r="28" spans="1:8">
      <c r="A28" s="41"/>
      <c r="B28" s="111"/>
      <c r="C28" s="41"/>
      <c r="D28" s="107"/>
      <c r="E28" s="107"/>
      <c r="F28" s="108"/>
      <c r="G28" s="110"/>
      <c r="H28" s="41"/>
    </row>
    <row r="29" spans="1:8" ht="13.5" thickBot="1">
      <c r="A29" s="41"/>
      <c r="B29" s="118" t="s">
        <v>102</v>
      </c>
      <c r="C29" s="119"/>
      <c r="D29" s="120">
        <f>D15+D21+D27</f>
        <v>51500</v>
      </c>
      <c r="E29" s="120">
        <f>E15+E21+E27</f>
        <v>5485000</v>
      </c>
      <c r="F29" s="120">
        <f>F15+F21+F27</f>
        <v>494470631.21019107</v>
      </c>
      <c r="G29" s="120"/>
      <c r="H29" s="41"/>
    </row>
    <row r="30" spans="1:8" ht="13.5" thickTop="1">
      <c r="A30" s="41"/>
      <c r="B30" s="15"/>
      <c r="C30" s="41"/>
      <c r="D30" s="121"/>
      <c r="E30" s="121"/>
      <c r="F30" s="121"/>
      <c r="G30" s="121"/>
      <c r="H30" s="41"/>
    </row>
    <row r="31" spans="1:8">
      <c r="A31" s="41"/>
      <c r="B31" s="41"/>
      <c r="C31" s="41"/>
      <c r="D31" s="108"/>
      <c r="E31" s="108"/>
      <c r="F31" s="108"/>
      <c r="G31" s="108"/>
      <c r="H31" s="41"/>
    </row>
    <row r="32" spans="1:8">
      <c r="A32" s="41"/>
      <c r="B32" s="122"/>
      <c r="C32" s="123"/>
      <c r="D32" s="124" t="s">
        <v>103</v>
      </c>
      <c r="E32" s="124" t="s">
        <v>103</v>
      </c>
      <c r="F32" s="36" t="s">
        <v>103</v>
      </c>
      <c r="G32" s="125"/>
      <c r="H32" s="41"/>
    </row>
    <row r="33" spans="1:8">
      <c r="A33" s="41"/>
      <c r="B33" s="126" t="s">
        <v>104</v>
      </c>
      <c r="C33" s="127"/>
      <c r="D33" s="128" t="s">
        <v>105</v>
      </c>
      <c r="E33" s="128" t="s">
        <v>43</v>
      </c>
      <c r="F33" s="37" t="s">
        <v>89</v>
      </c>
      <c r="G33" s="37" t="s">
        <v>45</v>
      </c>
      <c r="H33" s="41"/>
    </row>
    <row r="34" spans="1:8">
      <c r="A34" s="41"/>
      <c r="B34" s="42"/>
      <c r="C34" s="41"/>
      <c r="D34" s="16"/>
      <c r="E34" s="129"/>
      <c r="F34" s="130"/>
      <c r="G34" s="131"/>
      <c r="H34" s="41"/>
    </row>
    <row r="35" spans="1:8">
      <c r="A35" s="41"/>
      <c r="B35" s="109" t="str">
        <f>+B9</f>
        <v>Ecopetrol</v>
      </c>
      <c r="C35" s="41"/>
      <c r="D35" s="132">
        <v>17000</v>
      </c>
      <c r="E35" s="129"/>
      <c r="F35" s="130"/>
      <c r="G35" s="131"/>
      <c r="H35" s="41"/>
    </row>
    <row r="36" spans="1:8">
      <c r="A36" s="41"/>
      <c r="B36" s="42"/>
      <c r="C36" s="41"/>
      <c r="D36" s="16"/>
      <c r="E36" s="129"/>
      <c r="F36" s="130"/>
      <c r="G36" s="131"/>
      <c r="H36" s="41"/>
    </row>
    <row r="37" spans="1:8">
      <c r="A37" s="41"/>
      <c r="B37" s="39" t="s">
        <v>106</v>
      </c>
      <c r="C37" s="41"/>
      <c r="D37" s="133">
        <v>4500</v>
      </c>
      <c r="E37" s="107">
        <f>+D37*D35</f>
        <v>76500000</v>
      </c>
      <c r="F37" s="107">
        <f>+E37</f>
        <v>76500000</v>
      </c>
      <c r="G37" s="134">
        <f>+'8. Otras cédulas - 9. G.O.'!G54</f>
        <v>112</v>
      </c>
      <c r="H37" s="41"/>
    </row>
    <row r="38" spans="1:8">
      <c r="A38" s="41"/>
      <c r="B38" s="39" t="s">
        <v>107</v>
      </c>
      <c r="C38" s="41"/>
      <c r="D38" s="133">
        <f>+G14</f>
        <v>3569.7452229299365</v>
      </c>
      <c r="E38" s="135">
        <f>F14</f>
        <v>-60685668.789808922</v>
      </c>
      <c r="F38" s="112">
        <f>IF(E39&lt;0,-F37,E38)</f>
        <v>-60685668.789808922</v>
      </c>
      <c r="G38" s="134">
        <f>+'8. Otras cédulas - 9. G.O.'!G61</f>
        <v>113</v>
      </c>
      <c r="H38" s="114" t="s">
        <v>95</v>
      </c>
    </row>
    <row r="39" spans="1:8">
      <c r="A39" s="41"/>
      <c r="B39" s="42" t="s">
        <v>108</v>
      </c>
      <c r="C39" s="41"/>
      <c r="D39" s="108"/>
      <c r="E39" s="136">
        <f>SUM(E37:E38)</f>
        <v>15814331.210191078</v>
      </c>
      <c r="F39" s="137">
        <f>SUM(F37:F38)</f>
        <v>15814331.210191078</v>
      </c>
      <c r="G39" s="134">
        <f>+'8. Otras cédulas - 9. G.O.'!G65</f>
        <v>114</v>
      </c>
      <c r="H39" s="114" t="s">
        <v>109</v>
      </c>
    </row>
    <row r="40" spans="1:8">
      <c r="A40" s="41"/>
      <c r="B40" s="138"/>
      <c r="C40" s="139"/>
      <c r="D40" s="140"/>
      <c r="E40" s="135"/>
      <c r="F40" s="141"/>
      <c r="G40" s="112"/>
      <c r="H40" s="41"/>
    </row>
    <row r="41" spans="1:8">
      <c r="A41" s="41"/>
      <c r="B41" s="41"/>
      <c r="C41" s="41"/>
      <c r="D41" s="108"/>
      <c r="E41" s="41"/>
      <c r="F41" s="108" t="s">
        <v>80</v>
      </c>
      <c r="G41" s="108"/>
      <c r="H41" s="41"/>
    </row>
    <row r="42" spans="1:8">
      <c r="A42" s="41"/>
      <c r="B42" s="142" t="s">
        <v>110</v>
      </c>
      <c r="C42" s="41"/>
      <c r="D42" s="108"/>
      <c r="E42" s="41"/>
      <c r="F42" s="108"/>
      <c r="G42" s="108"/>
      <c r="H42" s="41"/>
    </row>
    <row r="43" spans="1:8">
      <c r="A43" s="41"/>
      <c r="B43" s="142" t="s">
        <v>111</v>
      </c>
      <c r="C43" s="41"/>
      <c r="D43" s="108"/>
      <c r="E43" s="41"/>
      <c r="F43" s="108"/>
      <c r="G43" s="108"/>
      <c r="H43" s="41"/>
    </row>
    <row r="44" spans="1:8">
      <c r="A44" s="41"/>
      <c r="B44" s="41"/>
      <c r="C44" s="41"/>
      <c r="D44" s="108"/>
      <c r="E44" s="41"/>
      <c r="F44" s="108"/>
      <c r="G44" s="108"/>
      <c r="H44" s="41"/>
    </row>
    <row r="45" spans="1:8">
      <c r="A45" s="41"/>
      <c r="B45" s="98" t="s">
        <v>112</v>
      </c>
      <c r="C45" s="41"/>
      <c r="D45" s="41"/>
      <c r="E45" s="41"/>
      <c r="F45" s="41"/>
      <c r="G45" s="41"/>
      <c r="H45" s="41"/>
    </row>
    <row r="46" spans="1:8">
      <c r="A46" s="41"/>
      <c r="B46" s="143" t="s">
        <v>113</v>
      </c>
      <c r="C46" s="41"/>
      <c r="D46" s="41"/>
      <c r="E46" s="41"/>
      <c r="F46" s="41"/>
      <c r="G46" s="41"/>
      <c r="H46" s="41"/>
    </row>
    <row r="47" spans="1:8">
      <c r="A47" s="41"/>
      <c r="B47" s="41" t="s">
        <v>114</v>
      </c>
      <c r="C47" s="41"/>
      <c r="D47" s="41"/>
      <c r="E47" s="41"/>
      <c r="F47" s="41"/>
      <c r="G47" s="41"/>
      <c r="H47" s="41"/>
    </row>
    <row r="48" spans="1:8">
      <c r="B48" s="3" t="s">
        <v>115</v>
      </c>
    </row>
    <row r="165" s="3" customFormat="1" ht="12.75" customHeight="1"/>
    <row r="166" s="3" customFormat="1" ht="12.75" customHeight="1"/>
    <row r="167" s="3" customFormat="1" ht="12.75" customHeight="1"/>
  </sheetData>
  <sheetProtection algorithmName="SHA-512" hashValue="4ivxdndpXmqMbR/AeBHMXK83kmyupOiY5KjC5KTKrI7OZkYHjIpJnuy/d0XheBkbPfeeqHqZa6xG8WjQ/SBwMA==" saltValue="pbC+k9d7A93IKLp4/b786A==" spinCount="100000" sheet="1" objects="1" scenarios="1"/>
  <phoneticPr fontId="6" type="noConversion"/>
  <printOptions horizontalCentered="1" verticalCentered="1"/>
  <pageMargins left="0.59055118110236227" right="0.39370078740157483" top="0.59055118110236227" bottom="0.59055118110236227" header="0" footer="0"/>
  <pageSetup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D37:F39 B1:B4 B19:B21 D10:H12 D15:H18 B27 B35 G37:G39 D26:H29 D25:E25 F25:H25 D20:H24 E19 G19:H19" unlockedFormula="1"/>
    <ignoredError sqref="H38:H39" numberStoredAsText="1"/>
    <ignoredError sqref="D14:H14 D13:G13" formula="1" unlockedFormula="1"/>
    <ignoredError sqref="H13" numberStoredAsText="1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7"/>
  <sheetViews>
    <sheetView zoomScaleNormal="100" workbookViewId="0">
      <selection activeCell="H3" sqref="H3"/>
    </sheetView>
  </sheetViews>
  <sheetFormatPr defaultColWidth="11.42578125" defaultRowHeight="12"/>
  <cols>
    <col min="1" max="1" width="1.7109375" style="4" customWidth="1"/>
    <col min="2" max="2" width="16.28515625" style="4" customWidth="1"/>
    <col min="3" max="3" width="13.7109375" style="4" customWidth="1"/>
    <col min="4" max="4" width="12" style="4" customWidth="1"/>
    <col min="5" max="5" width="12" style="4" bestFit="1" customWidth="1"/>
    <col min="6" max="8" width="12" style="4" customWidth="1"/>
    <col min="9" max="9" width="11.42578125" style="4" customWidth="1"/>
    <col min="10" max="10" width="2.7109375" style="4" customWidth="1"/>
    <col min="11" max="11" width="10.140625" style="4" bestFit="1" customWidth="1"/>
    <col min="12" max="12" width="11.42578125" style="4"/>
    <col min="13" max="13" width="11.42578125" style="4" customWidth="1"/>
    <col min="14" max="15" width="11.7109375" style="4" customWidth="1"/>
    <col min="16" max="16" width="2.7109375" style="5" customWidth="1"/>
    <col min="17" max="17" width="12.42578125" style="4" customWidth="1"/>
    <col min="18" max="16384" width="11.42578125" style="4"/>
  </cols>
  <sheetData>
    <row r="1" spans="1:16" ht="12.75" customHeight="1">
      <c r="A1" s="48"/>
      <c r="B1" s="47" t="str">
        <f>+'ANEXOS - TABLA'!B1</f>
        <v>JORGE ENRIQUE CUÉLLAR GARCÍA</v>
      </c>
      <c r="C1" s="48"/>
      <c r="D1" s="69"/>
      <c r="E1" s="69"/>
      <c r="F1" s="69"/>
      <c r="G1" s="69"/>
      <c r="H1" s="69"/>
      <c r="I1" s="69"/>
      <c r="J1" s="69"/>
    </row>
    <row r="2" spans="1:16" ht="12.75" customHeight="1">
      <c r="A2" s="48"/>
      <c r="B2" s="47" t="str">
        <f>+'ANEXOS - TABLA'!B2</f>
        <v>NIT 79.378.917 - 5</v>
      </c>
      <c r="C2" s="48"/>
      <c r="D2" s="69"/>
      <c r="E2" s="69"/>
      <c r="F2" s="69"/>
      <c r="G2" s="69"/>
      <c r="H2" s="69"/>
      <c r="I2" s="69"/>
      <c r="J2" s="69"/>
    </row>
    <row r="3" spans="1:16" ht="12.75" customHeight="1">
      <c r="A3" s="48"/>
      <c r="B3" s="47" t="str">
        <f>+'ANEXOS - TABLA'!B3</f>
        <v>DECLARACION DE RENTA AÑO GRAVABLE 2024</v>
      </c>
      <c r="C3" s="48"/>
      <c r="D3" s="69"/>
      <c r="E3" s="69"/>
      <c r="F3" s="69"/>
      <c r="G3" s="48"/>
      <c r="H3" s="49" t="s">
        <v>116</v>
      </c>
      <c r="I3" s="48"/>
      <c r="J3" s="69"/>
    </row>
    <row r="4" spans="1:16" ht="12.75" customHeight="1">
      <c r="A4" s="48"/>
      <c r="B4" s="50" t="s">
        <v>10</v>
      </c>
      <c r="C4" s="48"/>
      <c r="D4" s="69"/>
      <c r="E4" s="69"/>
      <c r="F4" s="69"/>
      <c r="G4" s="69"/>
      <c r="H4" s="69"/>
      <c r="I4" s="69"/>
      <c r="J4" s="69"/>
    </row>
    <row r="5" spans="1:16" ht="12.75" customHeight="1">
      <c r="A5" s="48"/>
      <c r="B5" s="48"/>
      <c r="C5" s="48"/>
      <c r="D5" s="48"/>
      <c r="E5" s="48"/>
      <c r="F5" s="48"/>
      <c r="G5" s="48"/>
      <c r="H5" s="48"/>
      <c r="I5" s="48"/>
      <c r="J5" s="48"/>
    </row>
    <row r="6" spans="1:16" ht="12.75" customHeight="1">
      <c r="A6" s="48"/>
      <c r="B6" s="144"/>
      <c r="C6" s="145"/>
      <c r="D6" s="146" t="s">
        <v>117</v>
      </c>
      <c r="E6" s="147" t="s">
        <v>85</v>
      </c>
      <c r="F6" s="146" t="s">
        <v>118</v>
      </c>
      <c r="G6" s="146" t="s">
        <v>119</v>
      </c>
      <c r="H6" s="148" t="s">
        <v>117</v>
      </c>
      <c r="I6" s="148" t="s">
        <v>120</v>
      </c>
      <c r="J6" s="69"/>
      <c r="K6" s="5"/>
      <c r="P6" s="4"/>
    </row>
    <row r="7" spans="1:16" ht="12.75" customHeight="1">
      <c r="A7" s="48"/>
      <c r="B7" s="149" t="s">
        <v>121</v>
      </c>
      <c r="C7" s="150"/>
      <c r="D7" s="151" t="s">
        <v>122</v>
      </c>
      <c r="E7" s="152">
        <f>+'3. Inversiones'!E7</f>
        <v>0.10970000000000001</v>
      </c>
      <c r="F7" s="153" t="s">
        <v>123</v>
      </c>
      <c r="G7" s="154" t="s">
        <v>124</v>
      </c>
      <c r="H7" s="155" t="s">
        <v>125</v>
      </c>
      <c r="I7" s="156" t="s">
        <v>126</v>
      </c>
      <c r="J7" s="69"/>
      <c r="K7" s="5"/>
      <c r="P7" s="4"/>
    </row>
    <row r="8" spans="1:16" ht="12.75" customHeight="1">
      <c r="A8" s="48"/>
      <c r="B8" s="157"/>
      <c r="C8" s="48"/>
      <c r="D8" s="66"/>
      <c r="E8" s="69"/>
      <c r="F8" s="158"/>
      <c r="G8" s="66"/>
      <c r="H8" s="65"/>
      <c r="I8" s="158"/>
      <c r="J8" s="69"/>
      <c r="K8" s="5"/>
      <c r="P8" s="4"/>
    </row>
    <row r="9" spans="1:16">
      <c r="A9" s="48"/>
      <c r="B9" s="159" t="s">
        <v>127</v>
      </c>
      <c r="C9" s="48"/>
      <c r="D9" s="66"/>
      <c r="E9" s="69"/>
      <c r="F9" s="66"/>
      <c r="G9" s="66"/>
      <c r="H9" s="65"/>
      <c r="I9" s="66"/>
      <c r="J9" s="69"/>
      <c r="P9" s="4"/>
    </row>
    <row r="10" spans="1:16">
      <c r="A10" s="48"/>
      <c r="B10" s="157" t="s">
        <v>128</v>
      </c>
      <c r="C10" s="48"/>
      <c r="D10" s="66">
        <f>155700000*2.19</f>
        <v>340983000</v>
      </c>
      <c r="E10" s="69"/>
      <c r="F10" s="66">
        <f>-G10-D10</f>
        <v>15570000</v>
      </c>
      <c r="G10" s="66">
        <f>-155700000*2.29</f>
        <v>-356553000</v>
      </c>
      <c r="H10" s="65">
        <f>SUM(D10:G10)</f>
        <v>0</v>
      </c>
      <c r="I10" s="66">
        <v>0</v>
      </c>
      <c r="J10" s="69"/>
      <c r="P10" s="4"/>
    </row>
    <row r="11" spans="1:16">
      <c r="A11" s="48"/>
      <c r="B11" s="157" t="s">
        <v>129</v>
      </c>
      <c r="C11" s="48"/>
      <c r="D11" s="66">
        <v>425100000</v>
      </c>
      <c r="E11" s="69"/>
      <c r="F11" s="66">
        <f>+H11-D11</f>
        <v>32800000</v>
      </c>
      <c r="G11" s="66"/>
      <c r="H11" s="65">
        <f>+I11</f>
        <v>457900000</v>
      </c>
      <c r="I11" s="66">
        <v>457900000</v>
      </c>
      <c r="J11" s="69"/>
      <c r="P11" s="4"/>
    </row>
    <row r="12" spans="1:16">
      <c r="A12" s="48"/>
      <c r="B12" s="157" t="s">
        <v>130</v>
      </c>
      <c r="C12" s="48"/>
      <c r="D12" s="66">
        <v>448930000</v>
      </c>
      <c r="E12" s="160">
        <f>+D12*E7</f>
        <v>49247621</v>
      </c>
      <c r="F12" s="66"/>
      <c r="G12" s="66"/>
      <c r="H12" s="65">
        <f>SUM(D12:G12)</f>
        <v>498177621</v>
      </c>
      <c r="I12" s="66">
        <v>380190000</v>
      </c>
      <c r="J12" s="69"/>
      <c r="P12" s="4"/>
    </row>
    <row r="13" spans="1:16">
      <c r="A13" s="48"/>
      <c r="B13" s="157" t="s">
        <v>131</v>
      </c>
      <c r="C13" s="48"/>
      <c r="D13" s="66">
        <f>ROUND(270000*3000.71,-3)</f>
        <v>810192000</v>
      </c>
      <c r="E13" s="160"/>
      <c r="F13" s="66"/>
      <c r="G13" s="66"/>
      <c r="H13" s="65">
        <f>SUM(D13:G13)</f>
        <v>810192000</v>
      </c>
      <c r="I13" s="66"/>
      <c r="J13" s="69"/>
      <c r="P13" s="4"/>
    </row>
    <row r="14" spans="1:16">
      <c r="A14" s="48"/>
      <c r="B14" s="157" t="s">
        <v>132</v>
      </c>
      <c r="C14" s="48"/>
      <c r="D14" s="66"/>
      <c r="E14" s="160"/>
      <c r="F14" s="66">
        <f>+I14-G14</f>
        <v>7684000</v>
      </c>
      <c r="G14" s="66">
        <v>131860000</v>
      </c>
      <c r="H14" s="65">
        <f>SUM(D14:G14)</f>
        <v>139544000</v>
      </c>
      <c r="I14" s="66">
        <v>139544000</v>
      </c>
      <c r="J14" s="69"/>
      <c r="P14" s="4"/>
    </row>
    <row r="15" spans="1:16">
      <c r="A15" s="48"/>
      <c r="B15" s="157"/>
      <c r="C15" s="48"/>
      <c r="D15" s="66"/>
      <c r="E15" s="160"/>
      <c r="F15" s="66"/>
      <c r="G15" s="66"/>
      <c r="H15" s="65"/>
      <c r="I15" s="66"/>
      <c r="J15" s="69"/>
      <c r="P15" s="4"/>
    </row>
    <row r="16" spans="1:16">
      <c r="A16" s="48"/>
      <c r="B16" s="157"/>
      <c r="C16" s="48"/>
      <c r="D16" s="161">
        <f>SUM(D10:D15)</f>
        <v>2025205000</v>
      </c>
      <c r="E16" s="161">
        <f>SUM(E10:E15)</f>
        <v>49247621</v>
      </c>
      <c r="F16" s="161">
        <f>SUM(F10:F15)</f>
        <v>56054000</v>
      </c>
      <c r="G16" s="161">
        <f>SUM(G10:G15)</f>
        <v>-224693000</v>
      </c>
      <c r="H16" s="161">
        <f>SUM(H10:H15)</f>
        <v>1905813621</v>
      </c>
      <c r="I16" s="66"/>
      <c r="J16" s="69"/>
      <c r="L16" s="6"/>
      <c r="M16" s="6"/>
      <c r="P16" s="4"/>
    </row>
    <row r="17" spans="1:16">
      <c r="A17" s="48"/>
      <c r="B17" s="157"/>
      <c r="C17" s="48"/>
      <c r="D17" s="66"/>
      <c r="E17" s="69"/>
      <c r="F17" s="66"/>
      <c r="G17" s="66"/>
      <c r="H17" s="65"/>
      <c r="I17" s="66"/>
      <c r="J17" s="69"/>
      <c r="L17" s="6"/>
      <c r="M17" s="6"/>
      <c r="P17" s="4"/>
    </row>
    <row r="18" spans="1:16">
      <c r="A18" s="48"/>
      <c r="B18" s="159" t="s">
        <v>133</v>
      </c>
      <c r="C18" s="48"/>
      <c r="D18" s="66"/>
      <c r="E18" s="69"/>
      <c r="F18" s="66"/>
      <c r="G18" s="66"/>
      <c r="H18" s="65"/>
      <c r="I18" s="66"/>
      <c r="J18" s="69"/>
      <c r="L18" s="6"/>
      <c r="M18" s="6"/>
      <c r="P18" s="4"/>
    </row>
    <row r="19" spans="1:16">
      <c r="A19" s="48"/>
      <c r="B19" s="157" t="s">
        <v>134</v>
      </c>
      <c r="C19" s="48"/>
      <c r="D19" s="66">
        <v>52000000</v>
      </c>
      <c r="E19" s="69"/>
      <c r="F19" s="66"/>
      <c r="G19" s="66"/>
      <c r="H19" s="65">
        <f t="shared" ref="H19:H23" si="0">SUM(D19:G19)</f>
        <v>52000000</v>
      </c>
      <c r="I19" s="66"/>
      <c r="J19" s="69"/>
      <c r="L19" s="7"/>
      <c r="M19" s="6"/>
      <c r="P19" s="4"/>
    </row>
    <row r="20" spans="1:16">
      <c r="A20" s="48"/>
      <c r="B20" s="157" t="s">
        <v>135</v>
      </c>
      <c r="C20" s="48"/>
      <c r="D20" s="66">
        <v>33860000</v>
      </c>
      <c r="E20" s="69"/>
      <c r="F20" s="66"/>
      <c r="G20" s="66">
        <v>-14250000</v>
      </c>
      <c r="H20" s="65">
        <f t="shared" si="0"/>
        <v>19610000</v>
      </c>
      <c r="I20" s="66"/>
      <c r="J20" s="69"/>
      <c r="L20" s="7"/>
      <c r="M20" s="6"/>
      <c r="P20" s="4"/>
    </row>
    <row r="21" spans="1:16">
      <c r="A21" s="48"/>
      <c r="B21" s="157" t="s">
        <v>136</v>
      </c>
      <c r="C21" s="48"/>
      <c r="D21" s="66">
        <v>23290000</v>
      </c>
      <c r="E21" s="69"/>
      <c r="F21" s="66"/>
      <c r="G21" s="66"/>
      <c r="H21" s="65">
        <f t="shared" si="0"/>
        <v>23290000</v>
      </c>
      <c r="I21" s="66"/>
      <c r="J21" s="69"/>
      <c r="L21" s="7"/>
      <c r="P21" s="4"/>
    </row>
    <row r="22" spans="1:16">
      <c r="A22" s="48"/>
      <c r="B22" s="157" t="s">
        <v>137</v>
      </c>
      <c r="C22" s="48"/>
      <c r="D22" s="66">
        <v>7900000</v>
      </c>
      <c r="E22" s="69"/>
      <c r="F22" s="66"/>
      <c r="G22" s="66"/>
      <c r="H22" s="65">
        <f t="shared" si="0"/>
        <v>7900000</v>
      </c>
      <c r="I22" s="66"/>
      <c r="J22" s="69"/>
      <c r="P22" s="4"/>
    </row>
    <row r="23" spans="1:16">
      <c r="A23" s="48"/>
      <c r="B23" s="157" t="s">
        <v>138</v>
      </c>
      <c r="C23" s="48"/>
      <c r="D23" s="66"/>
      <c r="E23" s="69"/>
      <c r="F23" s="66"/>
      <c r="G23" s="66">
        <v>24800000</v>
      </c>
      <c r="H23" s="65">
        <f t="shared" si="0"/>
        <v>24800000</v>
      </c>
      <c r="I23" s="66"/>
      <c r="J23" s="69"/>
      <c r="M23" s="6"/>
      <c r="P23" s="4"/>
    </row>
    <row r="24" spans="1:16">
      <c r="A24" s="48"/>
      <c r="B24" s="157"/>
      <c r="C24" s="48"/>
      <c r="D24" s="66"/>
      <c r="E24" s="69"/>
      <c r="F24" s="66"/>
      <c r="G24" s="66"/>
      <c r="H24" s="65"/>
      <c r="I24" s="66"/>
      <c r="J24" s="69"/>
      <c r="P24" s="4"/>
    </row>
    <row r="25" spans="1:16">
      <c r="A25" s="48"/>
      <c r="B25" s="157"/>
      <c r="C25" s="48"/>
      <c r="D25" s="161">
        <f>SUM(D19:D24)</f>
        <v>117050000</v>
      </c>
      <c r="E25" s="161">
        <f>SUM(E19:E24)</f>
        <v>0</v>
      </c>
      <c r="F25" s="161">
        <f>SUM(F19:F24)</f>
        <v>0</v>
      </c>
      <c r="G25" s="161">
        <f>SUM(G19:G24)</f>
        <v>10550000</v>
      </c>
      <c r="H25" s="161">
        <f>SUM(H19:H24)</f>
        <v>127600000</v>
      </c>
      <c r="I25" s="66"/>
      <c r="J25" s="69"/>
      <c r="L25" s="7"/>
      <c r="P25" s="4"/>
    </row>
    <row r="26" spans="1:16">
      <c r="A26" s="48"/>
      <c r="B26" s="157"/>
      <c r="C26" s="48"/>
      <c r="D26" s="66"/>
      <c r="E26" s="69"/>
      <c r="F26" s="66"/>
      <c r="G26" s="66"/>
      <c r="H26" s="65"/>
      <c r="I26" s="66"/>
      <c r="J26" s="69"/>
      <c r="P26" s="4"/>
    </row>
    <row r="27" spans="1:16" ht="12.75" thickBot="1">
      <c r="A27" s="48"/>
      <c r="B27" s="162" t="s">
        <v>139</v>
      </c>
      <c r="C27" s="163"/>
      <c r="D27" s="75">
        <f>+D16+D25</f>
        <v>2142255000</v>
      </c>
      <c r="E27" s="75">
        <f>+E16+E25</f>
        <v>49247621</v>
      </c>
      <c r="F27" s="75">
        <f>+F16+F25</f>
        <v>56054000</v>
      </c>
      <c r="G27" s="75">
        <f>+G16+G25</f>
        <v>-214143000</v>
      </c>
      <c r="H27" s="75">
        <f>+H16+H25</f>
        <v>2033413621</v>
      </c>
      <c r="I27" s="75"/>
      <c r="J27" s="69"/>
      <c r="P27" s="4"/>
    </row>
    <row r="28" spans="1:16" ht="12.75" thickTop="1">
      <c r="A28" s="48"/>
      <c r="B28" s="47"/>
      <c r="C28" s="48"/>
      <c r="D28" s="164"/>
      <c r="E28" s="164"/>
      <c r="F28" s="164"/>
      <c r="G28" s="164"/>
      <c r="H28" s="164"/>
      <c r="I28" s="164"/>
      <c r="J28" s="69"/>
      <c r="K28" s="8"/>
      <c r="L28" s="8"/>
      <c r="M28" s="8"/>
      <c r="N28" s="8"/>
      <c r="O28" s="8"/>
      <c r="P28" s="4"/>
    </row>
    <row r="29" spans="1:16">
      <c r="A29" s="48"/>
      <c r="B29" s="48"/>
      <c r="C29" s="48"/>
      <c r="D29" s="48"/>
      <c r="E29" s="48"/>
      <c r="F29" s="48"/>
      <c r="G29" s="48"/>
      <c r="H29" s="69"/>
      <c r="I29" s="69"/>
      <c r="J29" s="48"/>
      <c r="P29" s="4"/>
    </row>
    <row r="30" spans="1:16">
      <c r="A30" s="48"/>
      <c r="B30" s="47" t="s">
        <v>140</v>
      </c>
      <c r="C30" s="48"/>
      <c r="D30" s="48"/>
      <c r="E30" s="48"/>
      <c r="F30" s="48"/>
      <c r="G30" s="48"/>
      <c r="H30" s="48"/>
      <c r="I30" s="48"/>
      <c r="J30" s="48"/>
      <c r="P30" s="4"/>
    </row>
    <row r="31" spans="1:16">
      <c r="A31" s="48"/>
      <c r="B31" s="48"/>
      <c r="C31" s="48"/>
      <c r="D31" s="48"/>
      <c r="E31" s="48"/>
      <c r="F31" s="48"/>
      <c r="G31" s="48"/>
      <c r="H31" s="48"/>
      <c r="I31" s="48"/>
      <c r="J31" s="48"/>
      <c r="P31" s="4"/>
    </row>
    <row r="32" spans="1:16">
      <c r="A32" s="48"/>
      <c r="B32" s="165"/>
      <c r="C32" s="166"/>
      <c r="D32" s="167" t="s">
        <v>103</v>
      </c>
      <c r="E32" s="168" t="s">
        <v>103</v>
      </c>
      <c r="F32" s="167"/>
      <c r="G32" s="48"/>
      <c r="H32" s="48"/>
      <c r="I32" s="48"/>
      <c r="J32" s="48"/>
      <c r="P32" s="4"/>
    </row>
    <row r="33" spans="1:16">
      <c r="A33" s="48"/>
      <c r="B33" s="149"/>
      <c r="C33" s="150"/>
      <c r="D33" s="169" t="s">
        <v>43</v>
      </c>
      <c r="E33" s="169" t="s">
        <v>89</v>
      </c>
      <c r="F33" s="169" t="s">
        <v>45</v>
      </c>
      <c r="G33" s="48"/>
      <c r="H33" s="48"/>
      <c r="I33" s="48"/>
      <c r="J33" s="48"/>
      <c r="P33" s="4"/>
    </row>
    <row r="34" spans="1:16">
      <c r="A34" s="48"/>
      <c r="B34" s="170"/>
      <c r="C34" s="48"/>
      <c r="D34" s="158"/>
      <c r="E34" s="158"/>
      <c r="F34" s="171"/>
      <c r="G34" s="48"/>
      <c r="H34" s="48"/>
      <c r="I34" s="48"/>
      <c r="J34" s="48"/>
      <c r="P34" s="4"/>
    </row>
    <row r="35" spans="1:16">
      <c r="A35" s="48"/>
      <c r="B35" s="172" t="s">
        <v>141</v>
      </c>
      <c r="C35" s="48"/>
      <c r="D35" s="66"/>
      <c r="E35" s="66"/>
      <c r="F35" s="72"/>
      <c r="G35" s="48"/>
      <c r="H35" s="48"/>
      <c r="I35" s="48"/>
      <c r="J35" s="48"/>
      <c r="P35" s="4"/>
    </row>
    <row r="36" spans="1:16">
      <c r="A36" s="48"/>
      <c r="B36" s="157"/>
      <c r="C36" s="48"/>
      <c r="D36" s="66"/>
      <c r="E36" s="66"/>
      <c r="F36" s="72"/>
      <c r="G36" s="48"/>
      <c r="H36" s="48"/>
      <c r="I36" s="48"/>
      <c r="J36" s="48"/>
      <c r="P36" s="4"/>
    </row>
    <row r="37" spans="1:16">
      <c r="A37" s="48"/>
      <c r="B37" s="157" t="s">
        <v>106</v>
      </c>
      <c r="C37" s="48"/>
      <c r="D37" s="66">
        <v>493000000</v>
      </c>
      <c r="E37" s="66">
        <f>+D37</f>
        <v>493000000</v>
      </c>
      <c r="F37" s="173">
        <f>+'8. Otras cédulas - 9. G.O.'!G54</f>
        <v>112</v>
      </c>
      <c r="G37" s="48"/>
      <c r="H37" s="48"/>
      <c r="I37" s="48"/>
      <c r="J37" s="48"/>
      <c r="P37" s="4"/>
    </row>
    <row r="38" spans="1:16">
      <c r="A38" s="48"/>
      <c r="B38" s="157" t="s">
        <v>107</v>
      </c>
      <c r="C38" s="48"/>
      <c r="D38" s="70">
        <f>+G10</f>
        <v>-356553000</v>
      </c>
      <c r="E38" s="70">
        <f>+D38</f>
        <v>-356553000</v>
      </c>
      <c r="F38" s="173">
        <f>+'8. Otras cédulas - 9. G.O.'!G61</f>
        <v>113</v>
      </c>
      <c r="G38" s="174" t="s">
        <v>95</v>
      </c>
      <c r="H38" s="48"/>
      <c r="I38" s="48"/>
      <c r="J38" s="48"/>
      <c r="P38" s="4"/>
    </row>
    <row r="39" spans="1:16">
      <c r="A39" s="48"/>
      <c r="B39" s="159" t="s">
        <v>108</v>
      </c>
      <c r="C39" s="47"/>
      <c r="D39" s="175">
        <f>SUM(D37:D38)</f>
        <v>136447000</v>
      </c>
      <c r="E39" s="175">
        <f>SUM(E37:E38)</f>
        <v>136447000</v>
      </c>
      <c r="F39" s="72">
        <f>+'8. Otras cédulas - 9. G.O.'!G72</f>
        <v>115</v>
      </c>
      <c r="G39" s="174" t="s">
        <v>109</v>
      </c>
      <c r="H39" s="48"/>
      <c r="I39" s="48"/>
      <c r="J39" s="48"/>
      <c r="P39" s="4"/>
    </row>
    <row r="40" spans="1:16">
      <c r="A40" s="48"/>
      <c r="B40" s="159"/>
      <c r="C40" s="47"/>
      <c r="D40" s="158"/>
      <c r="E40" s="158"/>
      <c r="F40" s="72"/>
      <c r="G40" s="174"/>
      <c r="H40" s="48"/>
      <c r="I40" s="48"/>
      <c r="J40" s="48"/>
      <c r="P40" s="4"/>
    </row>
    <row r="41" spans="1:16">
      <c r="A41" s="48"/>
      <c r="B41" s="172" t="s">
        <v>142</v>
      </c>
      <c r="C41" s="47"/>
      <c r="D41" s="66"/>
      <c r="E41" s="66"/>
      <c r="F41" s="72"/>
      <c r="G41" s="174"/>
      <c r="H41" s="48"/>
      <c r="I41" s="48"/>
      <c r="J41" s="48"/>
      <c r="P41" s="4"/>
    </row>
    <row r="42" spans="1:16">
      <c r="A42" s="48"/>
      <c r="B42" s="159"/>
      <c r="C42" s="47"/>
      <c r="D42" s="66"/>
      <c r="E42" s="66"/>
      <c r="F42" s="72"/>
      <c r="G42" s="174"/>
      <c r="H42" s="48"/>
      <c r="I42" s="48"/>
      <c r="J42" s="48"/>
      <c r="P42" s="4"/>
    </row>
    <row r="43" spans="1:16">
      <c r="A43" s="48"/>
      <c r="B43" s="157" t="s">
        <v>106</v>
      </c>
      <c r="C43" s="47"/>
      <c r="D43" s="66">
        <v>11700000</v>
      </c>
      <c r="E43" s="66">
        <f>+D43</f>
        <v>11700000</v>
      </c>
      <c r="F43" s="173">
        <f>+'6. Cap y No Lab'!J10</f>
        <v>74</v>
      </c>
      <c r="G43" s="174"/>
      <c r="H43" s="48"/>
      <c r="I43" s="48"/>
      <c r="J43" s="48"/>
      <c r="P43" s="4"/>
    </row>
    <row r="44" spans="1:16">
      <c r="A44" s="48"/>
      <c r="B44" s="157" t="s">
        <v>107</v>
      </c>
      <c r="C44" s="47"/>
      <c r="D44" s="66">
        <f>+G20</f>
        <v>-14250000</v>
      </c>
      <c r="E44" s="70">
        <f>+D44</f>
        <v>-14250000</v>
      </c>
      <c r="F44" s="173">
        <f>+'6. Cap y No Lab'!J31</f>
        <v>77</v>
      </c>
      <c r="G44" s="174"/>
      <c r="H44" s="48"/>
      <c r="I44" s="48"/>
      <c r="J44" s="48"/>
      <c r="P44" s="4"/>
    </row>
    <row r="45" spans="1:16">
      <c r="A45" s="48"/>
      <c r="B45" s="159" t="s">
        <v>108</v>
      </c>
      <c r="C45" s="47"/>
      <c r="D45" s="175">
        <f>SUM(D43:D44)</f>
        <v>-2550000</v>
      </c>
      <c r="E45" s="175">
        <f>SUM(E43:E44)</f>
        <v>-2550000</v>
      </c>
      <c r="F45" s="72"/>
      <c r="G45" s="174" t="s">
        <v>143</v>
      </c>
      <c r="H45" s="48"/>
      <c r="I45" s="48"/>
      <c r="J45" s="48"/>
      <c r="P45" s="4"/>
    </row>
    <row r="46" spans="1:16">
      <c r="A46" s="48"/>
      <c r="B46" s="176"/>
      <c r="C46" s="177"/>
      <c r="D46" s="70"/>
      <c r="E46" s="70"/>
      <c r="F46" s="178"/>
      <c r="G46" s="174"/>
      <c r="H46" s="48"/>
      <c r="I46" s="48"/>
      <c r="J46" s="48"/>
      <c r="P46" s="4"/>
    </row>
    <row r="47" spans="1:16">
      <c r="A47" s="48"/>
      <c r="B47" s="48"/>
      <c r="C47" s="48"/>
      <c r="D47" s="48"/>
      <c r="E47" s="48"/>
      <c r="F47" s="48"/>
      <c r="G47" s="179"/>
      <c r="H47" s="48"/>
      <c r="I47" s="48"/>
      <c r="J47" s="48"/>
      <c r="P47" s="4"/>
    </row>
    <row r="48" spans="1:16">
      <c r="A48" s="48"/>
      <c r="B48" s="48" t="s">
        <v>144</v>
      </c>
      <c r="C48" s="48"/>
      <c r="D48" s="48"/>
      <c r="E48" s="48"/>
      <c r="F48" s="48"/>
      <c r="G48" s="179"/>
      <c r="H48" s="48"/>
      <c r="I48" s="48"/>
      <c r="J48" s="48"/>
      <c r="P48" s="4"/>
    </row>
    <row r="49" spans="1:16">
      <c r="A49" s="48"/>
      <c r="B49" s="48"/>
      <c r="C49" s="48"/>
      <c r="D49" s="48"/>
      <c r="E49" s="48"/>
      <c r="F49" s="48"/>
      <c r="G49" s="179"/>
      <c r="H49" s="48"/>
      <c r="I49" s="48"/>
      <c r="J49" s="48"/>
      <c r="P49" s="4"/>
    </row>
    <row r="50" spans="1:16">
      <c r="A50" s="48"/>
      <c r="B50" s="47" t="s">
        <v>145</v>
      </c>
      <c r="C50" s="48"/>
      <c r="D50" s="48"/>
      <c r="E50" s="48"/>
      <c r="F50" s="48"/>
      <c r="G50" s="48"/>
      <c r="H50" s="48"/>
      <c r="I50" s="48"/>
      <c r="J50" s="48"/>
      <c r="P50" s="4"/>
    </row>
    <row r="51" spans="1:16">
      <c r="A51" s="48"/>
      <c r="B51" s="48"/>
      <c r="C51" s="48"/>
      <c r="D51" s="48"/>
      <c r="E51" s="48"/>
      <c r="F51" s="48"/>
      <c r="G51" s="48"/>
      <c r="H51" s="48"/>
      <c r="I51" s="48"/>
      <c r="J51" s="48"/>
      <c r="P51" s="4"/>
    </row>
    <row r="52" spans="1:16">
      <c r="A52" s="48"/>
      <c r="B52" s="47" t="s">
        <v>146</v>
      </c>
      <c r="C52" s="48"/>
      <c r="D52" s="48"/>
      <c r="E52" s="48"/>
      <c r="F52" s="48"/>
      <c r="G52" s="48"/>
      <c r="H52" s="48"/>
      <c r="I52" s="48"/>
      <c r="J52" s="48"/>
      <c r="P52" s="4"/>
    </row>
    <row r="87" spans="2:16">
      <c r="B87" s="9"/>
      <c r="P87" s="4"/>
    </row>
    <row r="93" spans="2:16">
      <c r="P93" s="4"/>
    </row>
    <row r="94" spans="2:16">
      <c r="P94" s="4"/>
    </row>
    <row r="95" spans="2:16">
      <c r="P95" s="4"/>
    </row>
    <row r="96" spans="2:16">
      <c r="P96" s="4"/>
    </row>
    <row r="97" spans="16:16">
      <c r="P97" s="4"/>
    </row>
    <row r="98" spans="16:16">
      <c r="P98" s="4"/>
    </row>
    <row r="99" spans="16:16">
      <c r="P99" s="4"/>
    </row>
    <row r="100" spans="16:16">
      <c r="P100" s="4"/>
    </row>
    <row r="101" spans="16:16">
      <c r="P101" s="4"/>
    </row>
    <row r="102" spans="16:16">
      <c r="P102" s="4"/>
    </row>
    <row r="103" spans="16:16">
      <c r="P103" s="4"/>
    </row>
    <row r="104" spans="16:16">
      <c r="P104" s="4"/>
    </row>
    <row r="105" spans="16:16">
      <c r="P105" s="4"/>
    </row>
    <row r="106" spans="16:16" ht="12.75" customHeight="1">
      <c r="P106" s="4"/>
    </row>
    <row r="107" spans="16:16" ht="12.75" customHeight="1">
      <c r="P107" s="4"/>
    </row>
    <row r="108" spans="16:16" ht="12.75" customHeight="1">
      <c r="P108" s="4"/>
    </row>
    <row r="109" spans="16:16">
      <c r="P109" s="4"/>
    </row>
    <row r="110" spans="16:16">
      <c r="P110" s="4"/>
    </row>
    <row r="111" spans="16:16">
      <c r="P111" s="4"/>
    </row>
    <row r="112" spans="16:16">
      <c r="P112" s="4"/>
    </row>
    <row r="113" spans="16:16">
      <c r="P113" s="4"/>
    </row>
    <row r="114" spans="16:16">
      <c r="P114" s="4"/>
    </row>
    <row r="115" spans="16:16">
      <c r="P115" s="4"/>
    </row>
    <row r="116" spans="16:16">
      <c r="P116" s="4"/>
    </row>
    <row r="117" spans="16:16">
      <c r="P117" s="4"/>
    </row>
    <row r="118" spans="16:16">
      <c r="P118" s="4"/>
    </row>
    <row r="119" spans="16:16">
      <c r="P119" s="4"/>
    </row>
    <row r="120" spans="16:16">
      <c r="P120" s="4"/>
    </row>
    <row r="121" spans="16:16">
      <c r="P121" s="4"/>
    </row>
    <row r="122" spans="16:16">
      <c r="P122" s="4"/>
    </row>
    <row r="123" spans="16:16">
      <c r="P123" s="4"/>
    </row>
    <row r="124" spans="16:16">
      <c r="P124" s="4"/>
    </row>
    <row r="125" spans="16:16">
      <c r="P125" s="4"/>
    </row>
    <row r="126" spans="16:16">
      <c r="P126" s="4"/>
    </row>
    <row r="127" spans="16:16">
      <c r="P127" s="4"/>
    </row>
    <row r="128" spans="16:16">
      <c r="P128" s="4"/>
    </row>
    <row r="129" spans="16:16">
      <c r="P129" s="4"/>
    </row>
    <row r="130" spans="16:16">
      <c r="P130" s="4"/>
    </row>
    <row r="131" spans="16:16">
      <c r="P131" s="4"/>
    </row>
    <row r="132" spans="16:16">
      <c r="P132" s="4"/>
    </row>
    <row r="133" spans="16:16">
      <c r="P133" s="4"/>
    </row>
    <row r="134" spans="16:16">
      <c r="P134" s="4"/>
    </row>
    <row r="135" spans="16:16">
      <c r="P135" s="4"/>
    </row>
    <row r="136" spans="16:16">
      <c r="P136" s="4"/>
    </row>
    <row r="137" spans="16:16">
      <c r="P137" s="4"/>
    </row>
    <row r="138" spans="16:16">
      <c r="P138" s="4"/>
    </row>
    <row r="139" spans="16:16">
      <c r="P139" s="4"/>
    </row>
    <row r="140" spans="16:16">
      <c r="P140" s="4"/>
    </row>
    <row r="141" spans="16:16">
      <c r="P141" s="4"/>
    </row>
    <row r="142" spans="16:16">
      <c r="P142" s="4"/>
    </row>
    <row r="143" spans="16:16">
      <c r="P143" s="4"/>
    </row>
    <row r="144" spans="16:16">
      <c r="P144" s="4"/>
    </row>
    <row r="145" spans="16:16">
      <c r="P145" s="4"/>
    </row>
    <row r="146" spans="16:16">
      <c r="P146" s="4"/>
    </row>
    <row r="147" spans="16:16">
      <c r="P147" s="4"/>
    </row>
  </sheetData>
  <sheetProtection algorithmName="SHA-512" hashValue="68QXbyu5s57iYFTA4l6ZJRvpp1PMZfzaGg2pLZ0mZFDQqrjw9FVcF08yV8aGaxBvo+Ady/jSOTEQwQJweHYw9g==" saltValue="7VHaldGyab232no6kY0Qow==" spinCount="100000" sheet="1" objects="1" scenarios="1"/>
  <phoneticPr fontId="6" type="noConversion"/>
  <printOptions horizontalCentered="1" verticalCentered="1"/>
  <pageMargins left="0.39370078740157483" right="0.39370078740157483" top="0.78740157480314965" bottom="0.78740157480314965" header="0" footer="0"/>
  <pageSetup scale="95" orientation="portrait" horizontalDpi="360" verticalDpi="360" r:id="rId1"/>
  <headerFooter alignWithMargins="0">
    <oddHeader xml:space="preserve">&amp;C </oddHeader>
    <oddFooter xml:space="preserve">&amp;C </oddFooter>
  </headerFooter>
  <rowBreaks count="1" manualBreakCount="1">
    <brk id="192" max="65535" man="1"/>
  </rowBreaks>
  <ignoredErrors>
    <ignoredError sqref="B1:I6 B15:I19 B8:C13 I7:I10 D38:E45 F37:F39 F43:F44 E37 B20:I21 I13 B24:I27 B22:C22 E22:I22 H23 C14 D10 G10" unlockedFormula="1"/>
    <ignoredError sqref="D8:H9 D13:H13 D11:G11 E10:F10 E12:H12 H10 D14:F14 H14 B7:C7 E7:G7" twoDigitTextYear="1" unlockedFormula="1"/>
    <ignoredError sqref="H11" twoDigitTextYear="1" formula="1" unlockedFormula="1"/>
    <ignoredError sqref="G38:G45" numberStoredAsText="1"/>
    <ignoredError sqref="D7 H7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zoomScaleNormal="100" workbookViewId="0">
      <selection activeCell="I3" sqref="I3"/>
    </sheetView>
  </sheetViews>
  <sheetFormatPr defaultColWidth="11.42578125" defaultRowHeight="12.75"/>
  <cols>
    <col min="1" max="1" width="1.7109375" style="1" customWidth="1"/>
    <col min="2" max="2" width="3.7109375" style="1" customWidth="1"/>
    <col min="3" max="3" width="45.28515625" style="1" customWidth="1"/>
    <col min="4" max="4" width="11.7109375" style="1" customWidth="1"/>
    <col min="5" max="5" width="12.42578125" style="1" bestFit="1" customWidth="1"/>
    <col min="6" max="6" width="6.5703125" style="2" bestFit="1" customWidth="1"/>
    <col min="7" max="7" width="1.7109375" style="1" customWidth="1"/>
    <col min="8" max="8" width="12.85546875" style="1" customWidth="1"/>
    <col min="9" max="9" width="14.28515625" style="1" customWidth="1"/>
    <col min="10" max="10" width="6.28515625" style="1" bestFit="1" customWidth="1"/>
    <col min="11" max="11" width="1.7109375" style="1" customWidth="1"/>
    <col min="12" max="16384" width="11.42578125" style="1"/>
  </cols>
  <sheetData>
    <row r="1" spans="1:11">
      <c r="A1" s="41"/>
      <c r="B1" s="15" t="str">
        <f>+'ANEXOS - TABLA'!B1</f>
        <v>JORGE ENRIQUE CUÉLLAR GARCÍA</v>
      </c>
      <c r="C1" s="41"/>
      <c r="D1" s="41"/>
      <c r="E1" s="41"/>
      <c r="F1" s="301"/>
      <c r="G1" s="41"/>
      <c r="H1" s="41"/>
      <c r="I1" s="41"/>
      <c r="J1" s="41"/>
      <c r="K1" s="41"/>
    </row>
    <row r="2" spans="1:11">
      <c r="A2" s="41"/>
      <c r="B2" s="15" t="str">
        <f>+'ANEXOS - TABLA'!B2</f>
        <v>NIT 79.378.917 - 5</v>
      </c>
      <c r="C2" s="41"/>
      <c r="D2" s="41"/>
      <c r="E2" s="41"/>
      <c r="F2" s="301"/>
      <c r="G2" s="41"/>
      <c r="H2" s="41"/>
      <c r="I2" s="41"/>
      <c r="J2" s="41"/>
      <c r="K2" s="41"/>
    </row>
    <row r="3" spans="1:11">
      <c r="A3" s="41"/>
      <c r="B3" s="15" t="str">
        <f>+'ANEXOS - TABLA'!B3</f>
        <v>DECLARACION DE RENTA AÑO GRAVABLE 2024</v>
      </c>
      <c r="C3" s="41"/>
      <c r="D3" s="41"/>
      <c r="E3" s="41"/>
      <c r="F3" s="301"/>
      <c r="G3" s="41"/>
      <c r="H3" s="41"/>
      <c r="I3" s="16" t="s">
        <v>147</v>
      </c>
      <c r="J3" s="41"/>
      <c r="K3" s="41"/>
    </row>
    <row r="4" spans="1:11">
      <c r="A4" s="41"/>
      <c r="B4" s="15" t="s">
        <v>11</v>
      </c>
      <c r="C4" s="41"/>
      <c r="D4" s="41"/>
      <c r="E4" s="41"/>
      <c r="F4" s="301"/>
      <c r="G4" s="41"/>
      <c r="H4" s="41"/>
      <c r="I4" s="41"/>
      <c r="J4" s="41"/>
      <c r="K4" s="41"/>
    </row>
    <row r="5" spans="1:11">
      <c r="A5" s="41"/>
      <c r="B5" s="15"/>
      <c r="C5" s="41"/>
      <c r="D5" s="41"/>
      <c r="E5" s="41"/>
      <c r="F5" s="301"/>
      <c r="G5" s="41"/>
      <c r="H5" s="41"/>
      <c r="I5" s="41"/>
      <c r="J5" s="41"/>
      <c r="K5" s="41"/>
    </row>
    <row r="6" spans="1:11">
      <c r="A6" s="41"/>
      <c r="B6" s="15"/>
      <c r="C6" s="41"/>
      <c r="D6" s="180" t="s">
        <v>148</v>
      </c>
      <c r="E6" s="181"/>
      <c r="F6" s="182"/>
      <c r="G6" s="41"/>
      <c r="H6" s="180" t="s">
        <v>149</v>
      </c>
      <c r="I6" s="181"/>
      <c r="J6" s="183"/>
      <c r="K6" s="41"/>
    </row>
    <row r="7" spans="1:11">
      <c r="A7" s="41"/>
      <c r="B7" s="316"/>
      <c r="C7" s="326"/>
      <c r="D7" s="327"/>
      <c r="E7" s="36" t="s">
        <v>43</v>
      </c>
      <c r="F7" s="184" t="s">
        <v>150</v>
      </c>
      <c r="G7" s="41"/>
      <c r="H7" s="327"/>
      <c r="I7" s="36" t="s">
        <v>43</v>
      </c>
      <c r="J7" s="184" t="s">
        <v>150</v>
      </c>
      <c r="K7" s="41"/>
    </row>
    <row r="8" spans="1:11">
      <c r="A8" s="41"/>
      <c r="B8" s="319"/>
      <c r="C8" s="328"/>
      <c r="D8" s="37" t="s">
        <v>151</v>
      </c>
      <c r="E8" s="37" t="s">
        <v>44</v>
      </c>
      <c r="F8" s="185" t="s">
        <v>152</v>
      </c>
      <c r="G8" s="41"/>
      <c r="H8" s="186" t="s">
        <v>151</v>
      </c>
      <c r="I8" s="37" t="s">
        <v>44</v>
      </c>
      <c r="J8" s="185" t="s">
        <v>152</v>
      </c>
      <c r="K8" s="41"/>
    </row>
    <row r="9" spans="1:11">
      <c r="A9" s="41"/>
      <c r="B9" s="39"/>
      <c r="C9" s="187"/>
      <c r="D9" s="130"/>
      <c r="E9" s="130"/>
      <c r="F9" s="320"/>
      <c r="G9" s="41"/>
      <c r="H9" s="329"/>
      <c r="I9" s="329"/>
      <c r="J9" s="330"/>
      <c r="K9" s="41"/>
    </row>
    <row r="10" spans="1:11">
      <c r="A10" s="41"/>
      <c r="B10" s="39" t="s">
        <v>153</v>
      </c>
      <c r="C10" s="187"/>
      <c r="D10" s="130"/>
      <c r="E10" s="194">
        <f>SUM(D10:D17)</f>
        <v>242523000</v>
      </c>
      <c r="F10" s="201">
        <v>32</v>
      </c>
      <c r="G10" s="41"/>
      <c r="H10" s="130"/>
      <c r="I10" s="194">
        <f>SUM(H10:H17)</f>
        <v>154300000</v>
      </c>
      <c r="J10" s="197">
        <v>43</v>
      </c>
      <c r="K10" s="41"/>
    </row>
    <row r="11" spans="1:11">
      <c r="A11" s="41"/>
      <c r="B11" s="39"/>
      <c r="C11" s="187" t="s">
        <v>154</v>
      </c>
      <c r="D11" s="194">
        <f>13500000*12</f>
        <v>162000000</v>
      </c>
      <c r="E11" s="194"/>
      <c r="F11" s="320"/>
      <c r="G11" s="41"/>
      <c r="H11" s="130"/>
      <c r="I11" s="130"/>
      <c r="J11" s="197"/>
      <c r="K11" s="41"/>
    </row>
    <row r="12" spans="1:11">
      <c r="A12" s="41"/>
      <c r="B12" s="39"/>
      <c r="C12" s="187" t="s">
        <v>155</v>
      </c>
      <c r="D12" s="194">
        <f>6750000*2+29273000</f>
        <v>42773000</v>
      </c>
      <c r="E12" s="194"/>
      <c r="F12" s="320"/>
      <c r="G12" s="41"/>
      <c r="H12" s="130"/>
      <c r="I12" s="130"/>
      <c r="J12" s="197"/>
      <c r="K12" s="41"/>
    </row>
    <row r="13" spans="1:11">
      <c r="A13" s="41"/>
      <c r="B13" s="39"/>
      <c r="C13" s="187" t="s">
        <v>156</v>
      </c>
      <c r="D13" s="194">
        <v>1350000</v>
      </c>
      <c r="E13" s="130"/>
      <c r="F13" s="320"/>
      <c r="G13" s="41"/>
      <c r="H13" s="130"/>
      <c r="I13" s="130"/>
      <c r="J13" s="197"/>
      <c r="K13" s="41"/>
    </row>
    <row r="14" spans="1:11">
      <c r="A14" s="41"/>
      <c r="B14" s="39"/>
      <c r="C14" s="187" t="s">
        <v>157</v>
      </c>
      <c r="D14" s="194">
        <v>11400000</v>
      </c>
      <c r="E14" s="130"/>
      <c r="F14" s="320"/>
      <c r="G14" s="41"/>
      <c r="H14" s="130"/>
      <c r="I14" s="130"/>
      <c r="J14" s="197"/>
      <c r="K14" s="41"/>
    </row>
    <row r="15" spans="1:11">
      <c r="A15" s="41"/>
      <c r="B15" s="39"/>
      <c r="C15" s="187" t="s">
        <v>158</v>
      </c>
      <c r="D15" s="194">
        <v>25000000</v>
      </c>
      <c r="E15" s="130"/>
      <c r="F15" s="320"/>
      <c r="G15" s="41"/>
      <c r="H15" s="130"/>
      <c r="I15" s="194"/>
      <c r="J15" s="197"/>
      <c r="K15" s="41"/>
    </row>
    <row r="16" spans="1:11">
      <c r="A16" s="41"/>
      <c r="B16" s="39"/>
      <c r="C16" s="187" t="s">
        <v>159</v>
      </c>
      <c r="D16" s="141"/>
      <c r="E16" s="194"/>
      <c r="F16" s="320"/>
      <c r="G16" s="216"/>
      <c r="H16" s="196">
        <v>154300000</v>
      </c>
      <c r="I16" s="130"/>
      <c r="J16" s="197"/>
      <c r="K16" s="41"/>
    </row>
    <row r="17" spans="1:12">
      <c r="A17" s="41"/>
      <c r="B17" s="39"/>
      <c r="C17" s="187"/>
      <c r="D17" s="130"/>
      <c r="E17" s="130"/>
      <c r="F17" s="320"/>
      <c r="G17" s="216"/>
      <c r="H17" s="194"/>
      <c r="I17" s="130"/>
      <c r="J17" s="197"/>
      <c r="K17" s="41"/>
      <c r="L17" s="3"/>
    </row>
    <row r="18" spans="1:12">
      <c r="A18" s="41"/>
      <c r="B18" s="39" t="s">
        <v>160</v>
      </c>
      <c r="C18" s="187"/>
      <c r="D18" s="130"/>
      <c r="E18" s="194">
        <f>ROUND(SUM(D18:D23),-3)</f>
        <v>14580000</v>
      </c>
      <c r="F18" s="201">
        <f>+F10+1</f>
        <v>33</v>
      </c>
      <c r="G18" s="41"/>
      <c r="H18" s="130"/>
      <c r="I18" s="194">
        <f>ROUND(SUM(H18:H23),-3)</f>
        <v>17590000</v>
      </c>
      <c r="J18" s="197">
        <f>+J10+1</f>
        <v>44</v>
      </c>
      <c r="K18" s="41"/>
      <c r="L18" s="321"/>
    </row>
    <row r="19" spans="1:12">
      <c r="A19" s="41"/>
      <c r="B19" s="39"/>
      <c r="C19" s="187" t="s">
        <v>161</v>
      </c>
      <c r="D19" s="194">
        <f>+D11*4%</f>
        <v>6480000</v>
      </c>
      <c r="E19" s="194"/>
      <c r="F19" s="201"/>
      <c r="G19" s="41"/>
      <c r="H19" s="130"/>
      <c r="I19" s="130"/>
      <c r="J19" s="197"/>
      <c r="K19" s="41"/>
      <c r="L19" s="3"/>
    </row>
    <row r="20" spans="1:12">
      <c r="A20" s="41"/>
      <c r="B20" s="39"/>
      <c r="C20" s="187" t="s">
        <v>162</v>
      </c>
      <c r="D20" s="194">
        <f>+D11*5%</f>
        <v>8100000</v>
      </c>
      <c r="E20" s="194"/>
      <c r="F20" s="201"/>
      <c r="G20" s="41"/>
      <c r="H20" s="130"/>
      <c r="I20" s="197"/>
      <c r="J20" s="197"/>
      <c r="K20" s="41"/>
      <c r="L20" s="3"/>
    </row>
    <row r="21" spans="1:12">
      <c r="A21" s="41"/>
      <c r="B21" s="39"/>
      <c r="C21" s="187" t="s">
        <v>163</v>
      </c>
      <c r="D21" s="194"/>
      <c r="E21" s="194"/>
      <c r="F21" s="201"/>
      <c r="G21" s="41"/>
      <c r="H21" s="194">
        <f>ROUND(H16*40%*12.5%,-3)</f>
        <v>7715000</v>
      </c>
      <c r="I21" s="197"/>
      <c r="J21" s="197"/>
      <c r="K21" s="41"/>
      <c r="L21" s="3"/>
    </row>
    <row r="22" spans="1:12">
      <c r="A22" s="41"/>
      <c r="B22" s="39"/>
      <c r="C22" s="187" t="s">
        <v>164</v>
      </c>
      <c r="D22" s="196"/>
      <c r="E22" s="194"/>
      <c r="F22" s="201"/>
      <c r="G22" s="41"/>
      <c r="H22" s="196">
        <f>+ROUND(H16*40%*16%,-3)</f>
        <v>9875000</v>
      </c>
      <c r="I22" s="197"/>
      <c r="J22" s="197"/>
      <c r="K22" s="41"/>
      <c r="L22" s="3"/>
    </row>
    <row r="23" spans="1:12">
      <c r="A23" s="41"/>
      <c r="B23" s="39"/>
      <c r="C23" s="187"/>
      <c r="D23" s="194"/>
      <c r="E23" s="194"/>
      <c r="F23" s="201"/>
      <c r="G23" s="41"/>
      <c r="H23" s="130"/>
      <c r="I23" s="197"/>
      <c r="J23" s="197"/>
      <c r="K23" s="41"/>
      <c r="L23" s="3"/>
    </row>
    <row r="24" spans="1:12">
      <c r="A24" s="41"/>
      <c r="B24" s="39" t="s">
        <v>165</v>
      </c>
      <c r="C24" s="187"/>
      <c r="D24" s="221"/>
      <c r="E24" s="221"/>
      <c r="F24" s="222"/>
      <c r="G24" s="41"/>
      <c r="H24" s="130"/>
      <c r="I24" s="194">
        <f>SUM(H24:H29)</f>
        <v>67862000</v>
      </c>
      <c r="J24" s="197">
        <f>+J18+1</f>
        <v>45</v>
      </c>
      <c r="K24" s="41"/>
      <c r="L24" s="331"/>
    </row>
    <row r="25" spans="1:12">
      <c r="A25" s="41"/>
      <c r="B25" s="39"/>
      <c r="C25" s="187" t="s">
        <v>166</v>
      </c>
      <c r="D25" s="194"/>
      <c r="E25" s="194"/>
      <c r="F25" s="201"/>
      <c r="G25" s="41"/>
      <c r="H25" s="194">
        <v>49000000</v>
      </c>
      <c r="I25" s="197"/>
      <c r="J25" s="197"/>
      <c r="K25" s="41"/>
      <c r="L25" s="3"/>
    </row>
    <row r="26" spans="1:12">
      <c r="A26" s="41"/>
      <c r="B26" s="39"/>
      <c r="C26" s="187" t="s">
        <v>167</v>
      </c>
      <c r="D26" s="194"/>
      <c r="E26" s="194"/>
      <c r="F26" s="201"/>
      <c r="G26" s="41"/>
      <c r="H26" s="194">
        <v>1352000</v>
      </c>
      <c r="I26" s="197"/>
      <c r="J26" s="197"/>
      <c r="K26" s="41"/>
      <c r="L26" s="3"/>
    </row>
    <row r="27" spans="1:12">
      <c r="A27" s="41"/>
      <c r="B27" s="39"/>
      <c r="C27" s="187" t="s">
        <v>168</v>
      </c>
      <c r="D27" s="194"/>
      <c r="E27" s="194"/>
      <c r="F27" s="201"/>
      <c r="G27" s="41"/>
      <c r="H27" s="194">
        <v>2580000</v>
      </c>
      <c r="I27" s="197"/>
      <c r="J27" s="197"/>
      <c r="K27" s="41"/>
      <c r="L27" s="3"/>
    </row>
    <row r="28" spans="1:12">
      <c r="A28" s="41"/>
      <c r="B28" s="39"/>
      <c r="C28" s="187" t="s">
        <v>169</v>
      </c>
      <c r="D28" s="194"/>
      <c r="E28" s="196"/>
      <c r="F28" s="201"/>
      <c r="G28" s="41"/>
      <c r="H28" s="196">
        <v>14930000</v>
      </c>
      <c r="I28" s="332"/>
      <c r="J28" s="197"/>
      <c r="K28" s="41"/>
      <c r="L28" s="3"/>
    </row>
    <row r="29" spans="1:12">
      <c r="A29" s="41"/>
      <c r="B29" s="39"/>
      <c r="C29" s="187"/>
      <c r="D29" s="194"/>
      <c r="E29" s="194"/>
      <c r="F29" s="201"/>
      <c r="G29" s="41"/>
      <c r="H29" s="130"/>
      <c r="I29" s="197"/>
      <c r="J29" s="197"/>
      <c r="K29" s="41"/>
      <c r="L29" s="3"/>
    </row>
    <row r="30" spans="1:12">
      <c r="A30" s="41"/>
      <c r="B30" s="42" t="s">
        <v>170</v>
      </c>
      <c r="C30" s="188"/>
      <c r="D30" s="43"/>
      <c r="E30" s="43">
        <f>+E10-E18-E24</f>
        <v>227943000</v>
      </c>
      <c r="F30" s="189">
        <f>+F18+1</f>
        <v>34</v>
      </c>
      <c r="G30" s="15"/>
      <c r="H30" s="190"/>
      <c r="I30" s="43">
        <f>+I10-I18-I24</f>
        <v>68848000</v>
      </c>
      <c r="J30" s="191">
        <f>+J24+1</f>
        <v>46</v>
      </c>
      <c r="K30" s="41"/>
      <c r="L30" s="321"/>
    </row>
    <row r="31" spans="1:12">
      <c r="A31" s="41"/>
      <c r="B31" s="39"/>
      <c r="C31" s="187"/>
      <c r="D31" s="194"/>
      <c r="E31" s="194"/>
      <c r="F31" s="201"/>
      <c r="G31" s="41"/>
      <c r="H31" s="130"/>
      <c r="I31" s="197"/>
      <c r="J31" s="197"/>
      <c r="K31" s="41"/>
      <c r="L31" s="3"/>
    </row>
    <row r="32" spans="1:12">
      <c r="A32" s="41"/>
      <c r="B32" s="39" t="s">
        <v>171</v>
      </c>
      <c r="C32" s="192"/>
      <c r="D32" s="194"/>
      <c r="E32" s="194"/>
      <c r="F32" s="201"/>
      <c r="G32" s="41"/>
      <c r="H32" s="130"/>
      <c r="I32" s="197"/>
      <c r="J32" s="197"/>
      <c r="K32" s="41"/>
      <c r="L32" s="3"/>
    </row>
    <row r="33" spans="1:13">
      <c r="A33" s="41"/>
      <c r="B33" s="39"/>
      <c r="C33" s="192"/>
      <c r="D33" s="194"/>
      <c r="E33" s="194"/>
      <c r="F33" s="201"/>
      <c r="G33" s="41"/>
      <c r="H33" s="130"/>
      <c r="I33" s="197"/>
      <c r="J33" s="197"/>
      <c r="K33" s="41"/>
      <c r="L33" s="3"/>
      <c r="M33" s="3"/>
    </row>
    <row r="34" spans="1:13">
      <c r="A34" s="41"/>
      <c r="B34" s="39" t="s">
        <v>172</v>
      </c>
      <c r="C34" s="192"/>
      <c r="D34" s="194"/>
      <c r="E34" s="194">
        <f>ROUND(SUM(D34:D37),-3)</f>
        <v>56437000</v>
      </c>
      <c r="F34" s="201">
        <f>+F30+1</f>
        <v>35</v>
      </c>
      <c r="G34" s="41"/>
      <c r="H34" s="130"/>
      <c r="I34" s="194">
        <f>ROUND(SUM(H34:H37),-3)</f>
        <v>37200000</v>
      </c>
      <c r="J34" s="197">
        <f>+J30+1</f>
        <v>47</v>
      </c>
      <c r="K34" s="41"/>
      <c r="L34" s="3"/>
      <c r="M34" s="3"/>
    </row>
    <row r="35" spans="1:13">
      <c r="A35" s="41"/>
      <c r="B35" s="39"/>
      <c r="C35" s="187" t="s">
        <v>173</v>
      </c>
      <c r="D35" s="194">
        <f>2710000*12</f>
        <v>32520000</v>
      </c>
      <c r="E35" s="194"/>
      <c r="F35" s="201"/>
      <c r="G35" s="216"/>
      <c r="H35" s="194"/>
      <c r="I35" s="197"/>
      <c r="J35" s="197"/>
      <c r="K35" s="41"/>
      <c r="L35" s="10"/>
      <c r="M35" s="3"/>
    </row>
    <row r="36" spans="1:13">
      <c r="A36" s="41"/>
      <c r="B36" s="39"/>
      <c r="C36" s="187" t="s">
        <v>174</v>
      </c>
      <c r="D36" s="194">
        <v>23917000</v>
      </c>
      <c r="E36" s="194"/>
      <c r="F36" s="201"/>
      <c r="G36" s="216"/>
      <c r="H36" s="194">
        <f>3100000*12</f>
        <v>37200000</v>
      </c>
      <c r="I36" s="197"/>
      <c r="J36" s="197"/>
      <c r="K36" s="41"/>
      <c r="L36" s="3"/>
      <c r="M36" s="321"/>
    </row>
    <row r="37" spans="1:13">
      <c r="A37" s="41"/>
      <c r="B37" s="39"/>
      <c r="C37" s="187"/>
      <c r="D37" s="194"/>
      <c r="E37" s="194"/>
      <c r="F37" s="201"/>
      <c r="G37" s="216"/>
      <c r="H37" s="194"/>
      <c r="I37" s="197"/>
      <c r="J37" s="197"/>
      <c r="K37" s="41"/>
      <c r="L37" s="3"/>
      <c r="M37" s="321"/>
    </row>
    <row r="38" spans="1:13">
      <c r="A38" s="41"/>
      <c r="B38" s="39" t="s">
        <v>175</v>
      </c>
      <c r="C38" s="187"/>
      <c r="D38" s="194"/>
      <c r="E38" s="194">
        <f>ROUND(SUM(D38:D41),-3)</f>
        <v>64412000</v>
      </c>
      <c r="F38" s="201">
        <f>+F34+1</f>
        <v>36</v>
      </c>
      <c r="G38" s="216"/>
      <c r="H38" s="194"/>
      <c r="I38" s="194">
        <f>ROUND(SUM(H38:H41),-3)</f>
        <v>0</v>
      </c>
      <c r="J38" s="197">
        <f>+J34+1</f>
        <v>48</v>
      </c>
      <c r="K38" s="41"/>
      <c r="L38" s="3"/>
      <c r="M38" s="321"/>
    </row>
    <row r="39" spans="1:13">
      <c r="A39" s="41"/>
      <c r="B39" s="39"/>
      <c r="C39" s="187" t="s">
        <v>176</v>
      </c>
      <c r="D39" s="194">
        <f>+D14+D13</f>
        <v>12750000</v>
      </c>
      <c r="E39" s="194"/>
      <c r="F39" s="201"/>
      <c r="G39" s="41"/>
      <c r="H39" s="130"/>
      <c r="I39" s="197"/>
      <c r="J39" s="197"/>
      <c r="K39" s="41"/>
      <c r="L39" s="3"/>
      <c r="M39" s="3"/>
    </row>
    <row r="40" spans="1:13">
      <c r="A40" s="41"/>
      <c r="B40" s="39"/>
      <c r="C40" s="187" t="s">
        <v>177</v>
      </c>
      <c r="D40" s="194">
        <f>+D15</f>
        <v>25000000</v>
      </c>
      <c r="E40" s="194"/>
      <c r="F40" s="201"/>
      <c r="G40" s="41"/>
      <c r="H40" s="130"/>
      <c r="I40" s="197"/>
      <c r="J40" s="197"/>
      <c r="K40" s="41"/>
      <c r="L40" s="3"/>
      <c r="M40" s="3"/>
    </row>
    <row r="41" spans="1:13">
      <c r="A41" s="41"/>
      <c r="B41" s="39"/>
      <c r="C41" s="187" t="s">
        <v>178</v>
      </c>
      <c r="D41" s="194">
        <f>+(E10-E18-E34-D39-D40-E47-E49)*25%</f>
        <v>26661750</v>
      </c>
      <c r="E41" s="194"/>
      <c r="F41" s="201"/>
      <c r="G41" s="216"/>
      <c r="H41" s="193" t="s">
        <v>179</v>
      </c>
      <c r="I41" s="197"/>
      <c r="J41" s="197"/>
      <c r="K41" s="41"/>
      <c r="L41" s="3"/>
      <c r="M41" s="3"/>
    </row>
    <row r="42" spans="1:13">
      <c r="A42" s="41"/>
      <c r="B42" s="39"/>
      <c r="C42" s="187"/>
      <c r="D42" s="194"/>
      <c r="E42" s="194"/>
      <c r="F42" s="201"/>
      <c r="G42" s="41"/>
      <c r="H42" s="130"/>
      <c r="I42" s="197"/>
      <c r="J42" s="197"/>
      <c r="K42" s="41"/>
      <c r="L42" s="3"/>
      <c r="M42" s="3"/>
    </row>
    <row r="43" spans="1:13">
      <c r="A43" s="41"/>
      <c r="B43" s="42" t="s">
        <v>180</v>
      </c>
      <c r="C43" s="188"/>
      <c r="D43" s="43"/>
      <c r="E43" s="43">
        <f>+E34+E38</f>
        <v>120849000</v>
      </c>
      <c r="F43" s="189">
        <f>+F38+1</f>
        <v>37</v>
      </c>
      <c r="G43" s="24"/>
      <c r="H43" s="43"/>
      <c r="I43" s="43">
        <f>+I34+I38</f>
        <v>37200000</v>
      </c>
      <c r="J43" s="191">
        <f>+J38+1</f>
        <v>49</v>
      </c>
      <c r="K43" s="41"/>
      <c r="L43" s="3"/>
      <c r="M43" s="3"/>
    </row>
    <row r="44" spans="1:13">
      <c r="A44" s="41"/>
      <c r="B44" s="39"/>
      <c r="C44" s="187"/>
      <c r="D44" s="194"/>
      <c r="E44" s="194"/>
      <c r="F44" s="201"/>
      <c r="G44" s="41"/>
      <c r="H44" s="130"/>
      <c r="I44" s="197"/>
      <c r="J44" s="197"/>
      <c r="K44" s="41"/>
      <c r="L44" s="3"/>
      <c r="M44" s="3"/>
    </row>
    <row r="45" spans="1:13">
      <c r="A45" s="41"/>
      <c r="B45" s="39" t="s">
        <v>181</v>
      </c>
      <c r="C45" s="187"/>
      <c r="D45" s="194"/>
      <c r="E45" s="194"/>
      <c r="F45" s="201"/>
      <c r="G45" s="41"/>
      <c r="H45" s="130"/>
      <c r="I45" s="197"/>
      <c r="J45" s="197"/>
      <c r="K45" s="41"/>
      <c r="L45" s="3"/>
      <c r="M45" s="3"/>
    </row>
    <row r="46" spans="1:13">
      <c r="A46" s="41"/>
      <c r="B46" s="39"/>
      <c r="C46" s="187"/>
      <c r="D46" s="194"/>
      <c r="E46" s="194"/>
      <c r="F46" s="201"/>
      <c r="G46" s="41"/>
      <c r="H46" s="130"/>
      <c r="I46" s="197"/>
      <c r="J46" s="197"/>
      <c r="K46" s="41"/>
      <c r="L46" s="3"/>
      <c r="M46" s="3"/>
    </row>
    <row r="47" spans="1:13">
      <c r="A47" s="41"/>
      <c r="B47" s="39" t="s">
        <v>182</v>
      </c>
      <c r="C47" s="187"/>
      <c r="D47" s="194"/>
      <c r="E47" s="194">
        <v>0</v>
      </c>
      <c r="F47" s="201">
        <f>+F43+1</f>
        <v>38</v>
      </c>
      <c r="G47" s="216"/>
      <c r="H47" s="194"/>
      <c r="I47" s="194">
        <f>+D35*65%</f>
        <v>21138000</v>
      </c>
      <c r="J47" s="197">
        <f>+J43+1</f>
        <v>50</v>
      </c>
      <c r="K47" s="41"/>
      <c r="L47" s="3"/>
      <c r="M47" s="3"/>
    </row>
    <row r="48" spans="1:13">
      <c r="A48" s="41"/>
      <c r="B48" s="39"/>
      <c r="C48" s="187"/>
      <c r="D48" s="194"/>
      <c r="E48" s="194"/>
      <c r="F48" s="201"/>
      <c r="G48" s="41"/>
      <c r="H48" s="130"/>
      <c r="I48" s="197"/>
      <c r="J48" s="197"/>
      <c r="K48" s="41"/>
      <c r="L48" s="3"/>
      <c r="M48" s="3"/>
    </row>
    <row r="49" spans="1:14">
      <c r="A49" s="41"/>
      <c r="B49" s="39" t="s">
        <v>183</v>
      </c>
      <c r="C49" s="187"/>
      <c r="D49" s="194"/>
      <c r="E49" s="194">
        <f>ROUND(SUM(D49:D53),-3)</f>
        <v>27109000</v>
      </c>
      <c r="F49" s="201">
        <f>+F47+1</f>
        <v>39</v>
      </c>
      <c r="G49" s="41"/>
      <c r="H49" s="130"/>
      <c r="I49" s="194">
        <f>ROUND(SUM(H49:H53),-3)</f>
        <v>0</v>
      </c>
      <c r="J49" s="197">
        <f>+J47+1</f>
        <v>51</v>
      </c>
      <c r="K49" s="41"/>
      <c r="L49" s="3"/>
      <c r="M49" s="3"/>
      <c r="N49" s="3"/>
    </row>
    <row r="50" spans="1:14">
      <c r="A50" s="41"/>
      <c r="B50" s="39"/>
      <c r="C50" s="187" t="s">
        <v>184</v>
      </c>
      <c r="D50" s="194">
        <f>16*12*'ANEXOS - TABLA'!C28</f>
        <v>9036480</v>
      </c>
      <c r="E50" s="194"/>
      <c r="F50" s="201"/>
      <c r="G50" s="41"/>
      <c r="H50" s="130"/>
      <c r="I50" s="197"/>
      <c r="J50" s="197"/>
      <c r="K50" s="41"/>
      <c r="L50" s="3"/>
      <c r="M50" s="3"/>
      <c r="N50" s="3"/>
    </row>
    <row r="51" spans="1:14">
      <c r="A51" s="41"/>
      <c r="B51" s="39"/>
      <c r="C51" s="187" t="s">
        <v>185</v>
      </c>
      <c r="D51" s="194">
        <f>32*12*'ANEXOS - TABLA'!C28</f>
        <v>18072960</v>
      </c>
      <c r="E51" s="194"/>
      <c r="F51" s="201"/>
      <c r="G51" s="41"/>
      <c r="H51" s="130"/>
      <c r="I51" s="130"/>
      <c r="J51" s="197"/>
      <c r="K51" s="41"/>
      <c r="L51" s="10"/>
      <c r="M51" s="3"/>
      <c r="N51" s="10"/>
    </row>
    <row r="52" spans="1:14">
      <c r="A52" s="41"/>
      <c r="B52" s="39"/>
      <c r="C52" s="187" t="s">
        <v>186</v>
      </c>
      <c r="D52" s="196">
        <v>0</v>
      </c>
      <c r="E52" s="194"/>
      <c r="F52" s="201"/>
      <c r="G52" s="41"/>
      <c r="H52" s="130"/>
      <c r="I52" s="197"/>
      <c r="J52" s="197"/>
      <c r="K52" s="41"/>
      <c r="L52" s="3"/>
      <c r="M52" s="3"/>
      <c r="N52" s="3"/>
    </row>
    <row r="53" spans="1:14">
      <c r="A53" s="41"/>
      <c r="B53" s="39"/>
      <c r="C53" s="187"/>
      <c r="D53" s="194"/>
      <c r="E53" s="194"/>
      <c r="F53" s="201"/>
      <c r="G53" s="216"/>
      <c r="H53" s="194"/>
      <c r="I53" s="197"/>
      <c r="J53" s="197"/>
      <c r="K53" s="41"/>
      <c r="L53" s="3"/>
      <c r="M53" s="3"/>
      <c r="N53" s="3"/>
    </row>
    <row r="54" spans="1:14">
      <c r="A54" s="41"/>
      <c r="B54" s="42" t="s">
        <v>187</v>
      </c>
      <c r="C54" s="188"/>
      <c r="D54" s="43"/>
      <c r="E54" s="43">
        <f>+E47+E49</f>
        <v>27109000</v>
      </c>
      <c r="F54" s="189">
        <f>+F49+1</f>
        <v>40</v>
      </c>
      <c r="G54" s="24"/>
      <c r="H54" s="43"/>
      <c r="I54" s="43">
        <f>+I47+I49</f>
        <v>21138000</v>
      </c>
      <c r="J54" s="191">
        <f>+J49+1</f>
        <v>52</v>
      </c>
      <c r="K54" s="41"/>
      <c r="L54" s="3"/>
      <c r="M54" s="3"/>
      <c r="N54" s="3"/>
    </row>
    <row r="55" spans="1:14">
      <c r="A55" s="41"/>
      <c r="B55" s="39"/>
      <c r="C55" s="187"/>
      <c r="D55" s="194"/>
      <c r="E55" s="194"/>
      <c r="F55" s="201"/>
      <c r="G55" s="41"/>
      <c r="H55" s="130"/>
      <c r="I55" s="130"/>
      <c r="J55" s="197"/>
      <c r="K55" s="41"/>
      <c r="L55" s="3"/>
      <c r="M55" s="3"/>
      <c r="N55" s="3"/>
    </row>
    <row r="56" spans="1:14">
      <c r="A56" s="41"/>
      <c r="B56" s="42" t="s">
        <v>188</v>
      </c>
      <c r="C56" s="188"/>
      <c r="D56" s="43"/>
      <c r="E56" s="195">
        <f>ROUND(SUM(D57:D60),-3)</f>
        <v>147958000</v>
      </c>
      <c r="F56" s="189">
        <f>+F54+1</f>
        <v>41</v>
      </c>
      <c r="G56" s="15"/>
      <c r="H56" s="190"/>
      <c r="I56" s="195">
        <f>ROUND(SUM(H57:H60),-3)</f>
        <v>58338000</v>
      </c>
      <c r="J56" s="191">
        <f>+J54+1</f>
        <v>53</v>
      </c>
      <c r="K56" s="41"/>
      <c r="L56" s="321"/>
      <c r="M56" s="3"/>
      <c r="N56" s="3"/>
    </row>
    <row r="57" spans="1:14">
      <c r="A57" s="41"/>
      <c r="B57" s="39"/>
      <c r="C57" s="187" t="s">
        <v>189</v>
      </c>
      <c r="D57" s="194">
        <f>+D40</f>
        <v>25000000</v>
      </c>
      <c r="E57" s="194"/>
      <c r="F57" s="201"/>
      <c r="G57" s="41"/>
      <c r="H57" s="130">
        <v>0</v>
      </c>
      <c r="I57" s="197"/>
      <c r="J57" s="197"/>
      <c r="K57" s="41"/>
      <c r="L57" s="3"/>
      <c r="M57" s="3"/>
      <c r="N57" s="3"/>
    </row>
    <row r="58" spans="1:14">
      <c r="A58" s="41"/>
      <c r="B58" s="39"/>
      <c r="C58" s="187" t="s">
        <v>190</v>
      </c>
      <c r="D58" s="194">
        <f>+E43-D40</f>
        <v>95849000</v>
      </c>
      <c r="E58" s="194"/>
      <c r="F58" s="201"/>
      <c r="G58" s="216"/>
      <c r="H58" s="194">
        <f>+I43</f>
        <v>37200000</v>
      </c>
      <c r="I58" s="197"/>
      <c r="J58" s="197"/>
      <c r="K58" s="41"/>
      <c r="L58" s="3"/>
      <c r="M58" s="3"/>
      <c r="N58" s="3"/>
    </row>
    <row r="59" spans="1:14">
      <c r="A59" s="41"/>
      <c r="B59" s="39"/>
      <c r="C59" s="187" t="s">
        <v>191</v>
      </c>
      <c r="D59" s="196">
        <f>+E54</f>
        <v>27109000</v>
      </c>
      <c r="E59" s="194"/>
      <c r="F59" s="201"/>
      <c r="G59" s="41"/>
      <c r="H59" s="194">
        <f>+I54</f>
        <v>21138000</v>
      </c>
      <c r="I59" s="197"/>
      <c r="J59" s="197"/>
      <c r="K59" s="41"/>
      <c r="L59" s="3"/>
      <c r="M59" s="3"/>
      <c r="N59" s="3"/>
    </row>
    <row r="60" spans="1:14">
      <c r="A60" s="41"/>
      <c r="B60" s="39"/>
      <c r="C60" s="187"/>
      <c r="D60" s="194"/>
      <c r="E60" s="194"/>
      <c r="F60" s="201"/>
      <c r="G60" s="41"/>
      <c r="H60" s="130"/>
      <c r="I60" s="197"/>
      <c r="J60" s="197"/>
      <c r="K60" s="41"/>
      <c r="L60" s="3"/>
      <c r="M60" s="3"/>
      <c r="N60" s="3"/>
    </row>
    <row r="61" spans="1:14">
      <c r="A61" s="41"/>
      <c r="B61" s="39" t="s">
        <v>192</v>
      </c>
      <c r="C61" s="187"/>
      <c r="D61" s="221"/>
      <c r="E61" s="221"/>
      <c r="F61" s="222"/>
      <c r="G61" s="41"/>
      <c r="H61" s="130"/>
      <c r="I61" s="194">
        <f>+I30-I56</f>
        <v>10510000</v>
      </c>
      <c r="J61" s="197">
        <f>+J56+1</f>
        <v>54</v>
      </c>
      <c r="K61" s="41"/>
      <c r="L61" s="3"/>
      <c r="M61" s="3"/>
      <c r="N61" s="3"/>
    </row>
    <row r="62" spans="1:14">
      <c r="A62" s="41"/>
      <c r="B62" s="39" t="s">
        <v>193</v>
      </c>
      <c r="C62" s="187"/>
      <c r="D62" s="221"/>
      <c r="E62" s="221"/>
      <c r="F62" s="222"/>
      <c r="G62" s="41"/>
      <c r="H62" s="130"/>
      <c r="I62" s="194"/>
      <c r="J62" s="197">
        <f>+J61+1</f>
        <v>55</v>
      </c>
      <c r="K62" s="41"/>
      <c r="L62" s="3"/>
      <c r="M62" s="3"/>
      <c r="N62" s="3"/>
    </row>
    <row r="63" spans="1:14">
      <c r="A63" s="41"/>
      <c r="B63" s="39" t="s">
        <v>194</v>
      </c>
      <c r="C63" s="187"/>
      <c r="D63" s="221"/>
      <c r="E63" s="221"/>
      <c r="F63" s="222"/>
      <c r="G63" s="41"/>
      <c r="H63" s="130"/>
      <c r="I63" s="194"/>
      <c r="J63" s="197">
        <f>+J62+1</f>
        <v>56</v>
      </c>
      <c r="K63" s="41"/>
      <c r="L63" s="3"/>
      <c r="M63" s="3"/>
      <c r="N63" s="3"/>
    </row>
    <row r="64" spans="1:14" hidden="1">
      <c r="A64" s="41"/>
      <c r="B64" s="39"/>
      <c r="C64" s="187"/>
      <c r="D64" s="194"/>
      <c r="E64" s="194"/>
      <c r="F64" s="201"/>
      <c r="G64" s="41"/>
      <c r="H64" s="130"/>
      <c r="I64" s="197"/>
      <c r="J64" s="197"/>
      <c r="K64" s="41"/>
      <c r="L64" s="3"/>
      <c r="M64" s="3"/>
      <c r="N64" s="3"/>
    </row>
    <row r="65" spans="1:11" ht="13.5" hidden="1" thickBot="1">
      <c r="A65" s="41"/>
      <c r="B65" s="42" t="s">
        <v>195</v>
      </c>
      <c r="C65" s="188"/>
      <c r="D65" s="43"/>
      <c r="E65" s="198"/>
      <c r="F65" s="189">
        <f>+F56+1</f>
        <v>42</v>
      </c>
      <c r="G65" s="15"/>
      <c r="H65" s="190"/>
      <c r="I65" s="198"/>
      <c r="J65" s="191">
        <f>+J63+1</f>
        <v>57</v>
      </c>
      <c r="K65" s="41"/>
    </row>
    <row r="66" spans="1:11">
      <c r="A66" s="41"/>
      <c r="B66" s="223"/>
      <c r="C66" s="333"/>
      <c r="D66" s="141"/>
      <c r="E66" s="141"/>
      <c r="F66" s="224"/>
      <c r="G66" s="41"/>
      <c r="H66" s="141"/>
      <c r="I66" s="141"/>
      <c r="J66" s="141"/>
      <c r="K66" s="41"/>
    </row>
    <row r="67" spans="1:11">
      <c r="A67" s="3"/>
      <c r="B67" s="3"/>
      <c r="C67" s="3"/>
      <c r="D67" s="3"/>
      <c r="E67" s="3"/>
      <c r="F67" s="325"/>
      <c r="G67" s="321"/>
      <c r="H67" s="321"/>
      <c r="I67" s="3"/>
      <c r="J67" s="3"/>
      <c r="K67" s="3"/>
    </row>
  </sheetData>
  <sheetProtection algorithmName="SHA-512" hashValue="ZUIQAtRWAdMShKRgrIUkre8bBDtnAmTMzMpZnLYDc5Qk4Bpvbkrti8AblczY6mWrG0uFRaSMfoQsSpK/FmFt1g==" saltValue="Jgc4ikXiD1qqyCtqkKH5gA==" spinCount="100000" sheet="1" objects="1" scenarios="1"/>
  <printOptions horizontalCentered="1" verticalCentered="1"/>
  <pageMargins left="0.59055118110236227" right="0.59055118110236227" top="0.59055118110236227" bottom="0.59055118110236227" header="0" footer="0"/>
  <pageSetup scale="95" orientation="landscape" horizontalDpi="4294967292" r:id="rId1"/>
  <headerFooter alignWithMargins="0"/>
  <ignoredErrors>
    <ignoredError sqref="B1:B4 D66:E66 D15:E15 E16 I10 D17:E19 D20 F18:G19 E21:E22 F21:G24 D23:E23 D26:G27 J26:J27 F29:G29 J18:J19 J21:J24 H18:I24 J29:J33 F42:J42 F30:I33 D29:E33 D37:J39 E43:J43 F44:J51 D52 D53:E60 E48:E51 D40:D49 I36:J36 I34:J34 F41:G41 I41:J41 E14 D10:E10 I26 I25 H29:I29 I27 I28 I35:J35 E35:H35 D34:H34 E36:G36 D35 D36 H36 D50:D51 D65 F65:H65 J65 E12 E11 D11:D14 F52:J64 E5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1"/>
  <sheetViews>
    <sheetView zoomScaleNormal="100" workbookViewId="0">
      <selection activeCell="I3" sqref="I3"/>
    </sheetView>
  </sheetViews>
  <sheetFormatPr defaultColWidth="11.42578125" defaultRowHeight="12.75"/>
  <cols>
    <col min="1" max="1" width="1.7109375" style="1" customWidth="1"/>
    <col min="2" max="2" width="3.7109375" style="1" customWidth="1"/>
    <col min="3" max="3" width="41" style="1" customWidth="1"/>
    <col min="4" max="4" width="11.7109375" style="1" customWidth="1"/>
    <col min="5" max="5" width="12.42578125" style="1" bestFit="1" customWidth="1"/>
    <col min="6" max="6" width="6.7109375" style="2" bestFit="1" customWidth="1"/>
    <col min="7" max="7" width="1.7109375" style="1" customWidth="1"/>
    <col min="8" max="8" width="11.42578125" style="1"/>
    <col min="9" max="9" width="12.42578125" style="1" bestFit="1" customWidth="1"/>
    <col min="10" max="10" width="6.7109375" style="1" bestFit="1" customWidth="1"/>
    <col min="11" max="16384" width="11.42578125" style="1"/>
  </cols>
  <sheetData>
    <row r="1" spans="1:12">
      <c r="A1" s="41"/>
      <c r="B1" s="15" t="str">
        <f>+'ANEXOS - TABLA'!B1</f>
        <v>JORGE ENRIQUE CUÉLLAR GARCÍA</v>
      </c>
      <c r="C1" s="41"/>
      <c r="D1" s="41"/>
      <c r="E1" s="41"/>
      <c r="F1" s="301"/>
      <c r="G1" s="41"/>
      <c r="H1" s="41"/>
      <c r="I1" s="41"/>
      <c r="J1" s="41"/>
      <c r="K1" s="3"/>
      <c r="L1" s="3"/>
    </row>
    <row r="2" spans="1:12">
      <c r="A2" s="41"/>
      <c r="B2" s="15" t="str">
        <f>+'ANEXOS - TABLA'!B2</f>
        <v>NIT 79.378.917 - 5</v>
      </c>
      <c r="C2" s="41"/>
      <c r="D2" s="41"/>
      <c r="E2" s="41"/>
      <c r="F2" s="301"/>
      <c r="G2" s="41"/>
      <c r="H2" s="41"/>
      <c r="I2" s="41"/>
      <c r="J2" s="41"/>
      <c r="K2" s="3"/>
      <c r="L2" s="3"/>
    </row>
    <row r="3" spans="1:12">
      <c r="A3" s="41"/>
      <c r="B3" s="15" t="str">
        <f>+'ANEXOS - TABLA'!B3</f>
        <v>DECLARACION DE RENTA AÑO GRAVABLE 2024</v>
      </c>
      <c r="C3" s="41"/>
      <c r="D3" s="41"/>
      <c r="E3" s="41"/>
      <c r="F3" s="301"/>
      <c r="G3" s="41"/>
      <c r="H3" s="41"/>
      <c r="I3" s="16" t="s">
        <v>196</v>
      </c>
      <c r="J3" s="41"/>
      <c r="K3" s="3"/>
      <c r="L3" s="3"/>
    </row>
    <row r="4" spans="1:12">
      <c r="A4" s="41"/>
      <c r="B4" s="15" t="s">
        <v>12</v>
      </c>
      <c r="C4" s="41"/>
      <c r="D4" s="41"/>
      <c r="E4" s="41"/>
      <c r="F4" s="301"/>
      <c r="G4" s="41"/>
      <c r="H4" s="41"/>
      <c r="I4" s="41"/>
      <c r="J4" s="41"/>
      <c r="K4" s="3"/>
      <c r="L4" s="3"/>
    </row>
    <row r="5" spans="1:12">
      <c r="A5" s="41"/>
      <c r="B5" s="15"/>
      <c r="C5" s="41"/>
      <c r="D5" s="41"/>
      <c r="E5" s="41"/>
      <c r="F5" s="301"/>
      <c r="G5" s="41"/>
      <c r="H5" s="41"/>
      <c r="I5" s="41"/>
      <c r="J5" s="41"/>
      <c r="K5" s="3"/>
      <c r="L5" s="3"/>
    </row>
    <row r="6" spans="1:12">
      <c r="A6" s="41"/>
      <c r="B6" s="15"/>
      <c r="C6" s="41"/>
      <c r="D6" s="293" t="s">
        <v>197</v>
      </c>
      <c r="E6" s="294"/>
      <c r="F6" s="295"/>
      <c r="G6" s="41"/>
      <c r="H6" s="293" t="s">
        <v>198</v>
      </c>
      <c r="I6" s="294"/>
      <c r="J6" s="295"/>
      <c r="K6" s="3"/>
      <c r="L6" s="3"/>
    </row>
    <row r="7" spans="1:12">
      <c r="A7" s="41"/>
      <c r="B7" s="316"/>
      <c r="C7" s="123"/>
      <c r="D7" s="327"/>
      <c r="E7" s="36" t="s">
        <v>43</v>
      </c>
      <c r="F7" s="184" t="s">
        <v>150</v>
      </c>
      <c r="G7" s="41"/>
      <c r="H7" s="327"/>
      <c r="I7" s="36" t="s">
        <v>43</v>
      </c>
      <c r="J7" s="184" t="s">
        <v>150</v>
      </c>
      <c r="K7" s="3"/>
      <c r="L7" s="3"/>
    </row>
    <row r="8" spans="1:12">
      <c r="A8" s="41"/>
      <c r="B8" s="319"/>
      <c r="C8" s="127"/>
      <c r="D8" s="37" t="s">
        <v>151</v>
      </c>
      <c r="E8" s="37" t="s">
        <v>44</v>
      </c>
      <c r="F8" s="185" t="s">
        <v>152</v>
      </c>
      <c r="G8" s="41"/>
      <c r="H8" s="37" t="s">
        <v>151</v>
      </c>
      <c r="I8" s="37" t="s">
        <v>44</v>
      </c>
      <c r="J8" s="185" t="s">
        <v>152</v>
      </c>
      <c r="K8" s="3"/>
      <c r="L8" s="3"/>
    </row>
    <row r="9" spans="1:12">
      <c r="A9" s="41"/>
      <c r="B9" s="39"/>
      <c r="C9" s="41"/>
      <c r="D9" s="329"/>
      <c r="E9" s="130"/>
      <c r="F9" s="320"/>
      <c r="G9" s="41"/>
      <c r="H9" s="329"/>
      <c r="I9" s="130"/>
      <c r="J9" s="320"/>
      <c r="K9" s="3"/>
      <c r="L9" s="321"/>
    </row>
    <row r="10" spans="1:12">
      <c r="A10" s="41"/>
      <c r="B10" s="39" t="s">
        <v>199</v>
      </c>
      <c r="C10" s="41"/>
      <c r="D10" s="194"/>
      <c r="E10" s="194">
        <f>ROUND(SUM(D10:D19),-3)</f>
        <v>81410000</v>
      </c>
      <c r="F10" s="201">
        <v>58</v>
      </c>
      <c r="G10" s="41"/>
      <c r="H10" s="194"/>
      <c r="I10" s="194">
        <f>ROUND(SUM(H10:H19),-3)</f>
        <v>46677000</v>
      </c>
      <c r="J10" s="201">
        <v>74</v>
      </c>
      <c r="K10" s="3"/>
      <c r="L10" s="3"/>
    </row>
    <row r="11" spans="1:12">
      <c r="A11" s="41"/>
      <c r="B11" s="39"/>
      <c r="C11" s="41" t="s">
        <v>200</v>
      </c>
      <c r="D11" s="194">
        <v>37805000</v>
      </c>
      <c r="E11" s="194"/>
      <c r="F11" s="320"/>
      <c r="G11" s="41"/>
      <c r="H11" s="194"/>
      <c r="I11" s="194"/>
      <c r="J11" s="320"/>
      <c r="K11" s="3"/>
      <c r="L11" s="3"/>
    </row>
    <row r="12" spans="1:12">
      <c r="A12" s="41"/>
      <c r="B12" s="39"/>
      <c r="C12" s="41" t="s">
        <v>201</v>
      </c>
      <c r="D12" s="194">
        <v>29300000</v>
      </c>
      <c r="E12" s="194"/>
      <c r="F12" s="320"/>
      <c r="G12" s="41"/>
      <c r="H12" s="194"/>
      <c r="I12" s="194"/>
      <c r="J12" s="320"/>
      <c r="K12" s="3"/>
      <c r="L12" s="3"/>
    </row>
    <row r="13" spans="1:12">
      <c r="A13" s="41"/>
      <c r="B13" s="39"/>
      <c r="C13" s="41" t="s">
        <v>202</v>
      </c>
      <c r="D13" s="194">
        <f>+'1. Patrimonio - 2. CxC'!H62</f>
        <v>9929925.0000000019</v>
      </c>
      <c r="E13" s="194"/>
      <c r="F13" s="320"/>
      <c r="G13" s="41"/>
      <c r="H13" s="194"/>
      <c r="I13" s="194"/>
      <c r="J13" s="320"/>
      <c r="K13" s="3"/>
      <c r="L13" s="3"/>
    </row>
    <row r="14" spans="1:12">
      <c r="A14" s="41"/>
      <c r="B14" s="39"/>
      <c r="C14" s="41" t="s">
        <v>203</v>
      </c>
      <c r="D14" s="196">
        <f>1100*3977.63</f>
        <v>4375393</v>
      </c>
      <c r="E14" s="194"/>
      <c r="F14" s="320"/>
      <c r="G14" s="41"/>
      <c r="H14" s="194"/>
      <c r="I14" s="194"/>
      <c r="J14" s="320"/>
      <c r="K14" s="3"/>
      <c r="L14" s="3"/>
    </row>
    <row r="15" spans="1:12">
      <c r="A15" s="41"/>
      <c r="B15" s="39"/>
      <c r="C15" s="41" t="s">
        <v>204</v>
      </c>
      <c r="D15" s="130"/>
      <c r="E15" s="194"/>
      <c r="F15" s="320"/>
      <c r="G15" s="41"/>
      <c r="H15" s="194">
        <f>+(3977.63-3627.86)*100000</f>
        <v>34977000</v>
      </c>
      <c r="I15" s="194"/>
      <c r="J15" s="320"/>
      <c r="K15" s="3"/>
      <c r="L15" s="3"/>
    </row>
    <row r="16" spans="1:12">
      <c r="A16" s="41"/>
      <c r="B16" s="39"/>
      <c r="C16" s="41" t="s">
        <v>205</v>
      </c>
      <c r="D16" s="130"/>
      <c r="E16" s="194"/>
      <c r="F16" s="320"/>
      <c r="G16" s="41"/>
      <c r="H16" s="194"/>
      <c r="I16" s="194"/>
      <c r="J16" s="320"/>
      <c r="K16" s="3"/>
      <c r="L16" s="3"/>
    </row>
    <row r="17" spans="1:12">
      <c r="A17" s="41"/>
      <c r="B17" s="39"/>
      <c r="C17" s="41" t="s">
        <v>206</v>
      </c>
      <c r="D17" s="194">
        <v>0</v>
      </c>
      <c r="E17" s="194"/>
      <c r="F17" s="320"/>
      <c r="G17" s="41"/>
      <c r="H17" s="194">
        <v>0</v>
      </c>
      <c r="I17" s="194"/>
      <c r="J17" s="320"/>
      <c r="K17" s="3"/>
      <c r="L17" s="3"/>
    </row>
    <row r="18" spans="1:12">
      <c r="A18" s="41"/>
      <c r="B18" s="39"/>
      <c r="C18" s="41" t="s">
        <v>207</v>
      </c>
      <c r="D18" s="130"/>
      <c r="E18" s="194"/>
      <c r="F18" s="320"/>
      <c r="G18" s="41"/>
      <c r="H18" s="196">
        <f>+'4. Activos Fijos'!E43</f>
        <v>11700000</v>
      </c>
      <c r="I18" s="194"/>
      <c r="J18" s="320"/>
      <c r="K18" s="3"/>
      <c r="L18" s="3"/>
    </row>
    <row r="19" spans="1:12">
      <c r="A19" s="41"/>
      <c r="B19" s="39"/>
      <c r="C19" s="41"/>
      <c r="D19" s="130"/>
      <c r="E19" s="130"/>
      <c r="F19" s="320"/>
      <c r="G19" s="41"/>
      <c r="H19" s="130"/>
      <c r="I19" s="130"/>
      <c r="J19" s="320"/>
      <c r="K19" s="3"/>
      <c r="L19" s="3"/>
    </row>
    <row r="20" spans="1:12">
      <c r="A20" s="41"/>
      <c r="B20" s="39" t="s">
        <v>208</v>
      </c>
      <c r="C20" s="41"/>
      <c r="D20" s="220"/>
      <c r="E20" s="220"/>
      <c r="F20" s="334"/>
      <c r="G20" s="41"/>
      <c r="H20" s="130"/>
      <c r="I20" s="130">
        <v>0</v>
      </c>
      <c r="J20" s="201">
        <f>+J10+1</f>
        <v>75</v>
      </c>
      <c r="K20" s="3"/>
      <c r="L20" s="3"/>
    </row>
    <row r="21" spans="1:12">
      <c r="A21" s="41"/>
      <c r="B21" s="39"/>
      <c r="C21" s="41"/>
      <c r="D21" s="130"/>
      <c r="E21" s="130"/>
      <c r="F21" s="320"/>
      <c r="G21" s="41"/>
      <c r="H21" s="130"/>
      <c r="I21" s="130"/>
      <c r="J21" s="320"/>
      <c r="K21" s="3"/>
      <c r="L21" s="3"/>
    </row>
    <row r="22" spans="1:12">
      <c r="A22" s="41"/>
      <c r="B22" s="39" t="s">
        <v>160</v>
      </c>
      <c r="C22" s="41"/>
      <c r="D22" s="194"/>
      <c r="E22" s="194">
        <f>ROUND(SUM(D22:D27),-3)</f>
        <v>26885000</v>
      </c>
      <c r="F22" s="201">
        <f>+F10+1</f>
        <v>59</v>
      </c>
      <c r="G22" s="41"/>
      <c r="H22" s="194"/>
      <c r="I22" s="194">
        <f>ROUND(SUM(H22:H29),-3)</f>
        <v>17796000</v>
      </c>
      <c r="J22" s="201">
        <f>+J20+1</f>
        <v>76</v>
      </c>
      <c r="K22" s="3"/>
      <c r="L22" s="321"/>
    </row>
    <row r="23" spans="1:12">
      <c r="A23" s="41"/>
      <c r="B23" s="39"/>
      <c r="C23" s="41" t="s">
        <v>209</v>
      </c>
      <c r="D23" s="194">
        <f>+(D11+D12)*40%*12.5%</f>
        <v>3355250</v>
      </c>
      <c r="E23" s="194"/>
      <c r="F23" s="201"/>
      <c r="G23" s="41"/>
      <c r="H23" s="194"/>
      <c r="I23" s="194"/>
      <c r="J23" s="201"/>
      <c r="K23" s="3"/>
      <c r="L23" s="3"/>
    </row>
    <row r="24" spans="1:12">
      <c r="A24" s="41"/>
      <c r="B24" s="39"/>
      <c r="C24" s="41" t="s">
        <v>210</v>
      </c>
      <c r="D24" s="194">
        <f>+(D11+D12)*40%*16%</f>
        <v>4294720</v>
      </c>
      <c r="E24" s="194"/>
      <c r="F24" s="201"/>
      <c r="G24" s="41"/>
      <c r="H24" s="194"/>
      <c r="I24" s="194"/>
      <c r="J24" s="201"/>
      <c r="K24" s="3"/>
      <c r="L24" s="3"/>
    </row>
    <row r="25" spans="1:12">
      <c r="A25" s="41"/>
      <c r="B25" s="39"/>
      <c r="C25" s="41" t="s">
        <v>211</v>
      </c>
      <c r="D25" s="194">
        <f>+D11*50.88%</f>
        <v>19235184</v>
      </c>
      <c r="E25" s="194"/>
      <c r="F25" s="201"/>
      <c r="G25" s="41"/>
      <c r="H25" s="194"/>
      <c r="I25" s="194"/>
      <c r="J25" s="201"/>
      <c r="K25" s="3"/>
      <c r="L25" s="3"/>
    </row>
    <row r="26" spans="1:12">
      <c r="A26" s="41"/>
      <c r="B26" s="39"/>
      <c r="C26" s="41" t="s">
        <v>212</v>
      </c>
      <c r="D26" s="194"/>
      <c r="E26" s="194"/>
      <c r="F26" s="201"/>
      <c r="G26" s="41"/>
      <c r="H26" s="194"/>
      <c r="I26" s="194"/>
      <c r="J26" s="201"/>
      <c r="K26" s="3"/>
      <c r="L26" s="3"/>
    </row>
    <row r="27" spans="1:12">
      <c r="A27" s="41"/>
      <c r="B27" s="39"/>
      <c r="C27" s="41" t="s">
        <v>213</v>
      </c>
      <c r="D27" s="194">
        <v>0</v>
      </c>
      <c r="E27" s="194"/>
      <c r="F27" s="201"/>
      <c r="G27" s="41"/>
      <c r="H27" s="194"/>
      <c r="I27" s="194"/>
      <c r="J27" s="201"/>
      <c r="K27" s="3"/>
      <c r="L27" s="3"/>
    </row>
    <row r="28" spans="1:12">
      <c r="A28" s="41"/>
      <c r="B28" s="39"/>
      <c r="C28" s="41"/>
      <c r="D28" s="194"/>
      <c r="E28" s="194"/>
      <c r="F28" s="201"/>
      <c r="G28" s="41"/>
      <c r="H28" s="194"/>
      <c r="I28" s="194"/>
      <c r="J28" s="201"/>
      <c r="K28" s="3"/>
      <c r="L28" s="3"/>
    </row>
    <row r="29" spans="1:12">
      <c r="A29" s="41"/>
      <c r="B29" s="39"/>
      <c r="C29" s="41" t="s">
        <v>214</v>
      </c>
      <c r="D29" s="196"/>
      <c r="E29" s="194"/>
      <c r="F29" s="201"/>
      <c r="G29" s="41"/>
      <c r="H29" s="196">
        <f>+H15*50.88%</f>
        <v>17796297.600000001</v>
      </c>
      <c r="I29" s="194"/>
      <c r="J29" s="201"/>
      <c r="K29" s="3"/>
      <c r="L29" s="3"/>
    </row>
    <row r="30" spans="1:12">
      <c r="A30" s="41"/>
      <c r="B30" s="39"/>
      <c r="C30" s="41"/>
      <c r="D30" s="194"/>
      <c r="E30" s="194"/>
      <c r="F30" s="201"/>
      <c r="G30" s="41"/>
      <c r="H30" s="194"/>
      <c r="I30" s="194"/>
      <c r="J30" s="201"/>
      <c r="K30" s="3"/>
      <c r="L30" s="3"/>
    </row>
    <row r="31" spans="1:12">
      <c r="A31" s="41"/>
      <c r="B31" s="39" t="s">
        <v>215</v>
      </c>
      <c r="C31" s="41"/>
      <c r="D31" s="194"/>
      <c r="E31" s="194">
        <f>ROUND(SUM(D31:D36),-3)</f>
        <v>11926000</v>
      </c>
      <c r="F31" s="201">
        <f>+F22+1</f>
        <v>60</v>
      </c>
      <c r="G31" s="41"/>
      <c r="H31" s="194"/>
      <c r="I31" s="194">
        <f>ROUND(SUM(H31:H36),-3)</f>
        <v>14250000</v>
      </c>
      <c r="J31" s="201">
        <f>+J22+1</f>
        <v>77</v>
      </c>
      <c r="K31" s="3"/>
      <c r="L31" s="321"/>
    </row>
    <row r="32" spans="1:12">
      <c r="A32" s="41"/>
      <c r="B32" s="39"/>
      <c r="C32" s="41" t="s">
        <v>216</v>
      </c>
      <c r="D32" s="194">
        <v>10840000</v>
      </c>
      <c r="E32" s="194"/>
      <c r="F32" s="201"/>
      <c r="G32" s="41"/>
      <c r="H32" s="194"/>
      <c r="I32" s="194"/>
      <c r="J32" s="201"/>
      <c r="K32" s="3"/>
      <c r="L32" s="3"/>
    </row>
    <row r="33" spans="1:12">
      <c r="A33" s="41"/>
      <c r="B33" s="39"/>
      <c r="C33" s="41" t="s">
        <v>217</v>
      </c>
      <c r="D33" s="196">
        <v>1086000</v>
      </c>
      <c r="E33" s="194"/>
      <c r="F33" s="201"/>
      <c r="G33" s="41"/>
      <c r="H33" s="194"/>
      <c r="I33" s="194"/>
      <c r="J33" s="201"/>
      <c r="K33" s="3"/>
      <c r="L33" s="3"/>
    </row>
    <row r="34" spans="1:12">
      <c r="A34" s="41"/>
      <c r="B34" s="39"/>
      <c r="C34" s="41"/>
      <c r="D34" s="194"/>
      <c r="E34" s="194"/>
      <c r="F34" s="201"/>
      <c r="G34" s="41"/>
      <c r="H34" s="194"/>
      <c r="I34" s="194"/>
      <c r="J34" s="201"/>
      <c r="K34" s="3"/>
      <c r="L34" s="3"/>
    </row>
    <row r="35" spans="1:12">
      <c r="A35" s="41"/>
      <c r="B35" s="39"/>
      <c r="C35" s="41" t="s">
        <v>218</v>
      </c>
      <c r="D35" s="194"/>
      <c r="E35" s="194"/>
      <c r="F35" s="201"/>
      <c r="G35" s="41"/>
      <c r="H35" s="194">
        <f>-'4. Activos Fijos'!E44</f>
        <v>14250000</v>
      </c>
      <c r="I35" s="194"/>
      <c r="J35" s="201"/>
      <c r="K35" s="3"/>
      <c r="L35" s="3"/>
    </row>
    <row r="36" spans="1:12">
      <c r="A36" s="41"/>
      <c r="B36" s="39"/>
      <c r="C36" s="41"/>
      <c r="D36" s="194"/>
      <c r="E36" s="194"/>
      <c r="F36" s="201"/>
      <c r="G36" s="41"/>
      <c r="H36" s="194"/>
      <c r="I36" s="194"/>
      <c r="J36" s="201"/>
      <c r="K36" s="3"/>
      <c r="L36" s="3"/>
    </row>
    <row r="37" spans="1:12">
      <c r="A37" s="41"/>
      <c r="B37" s="42" t="s">
        <v>170</v>
      </c>
      <c r="C37" s="15"/>
      <c r="D37" s="43"/>
      <c r="E37" s="199">
        <f>+E10-E22-E31</f>
        <v>42599000</v>
      </c>
      <c r="F37" s="189">
        <f>+F31+1</f>
        <v>61</v>
      </c>
      <c r="G37" s="41"/>
      <c r="H37" s="43"/>
      <c r="I37" s="199">
        <f>+I10-I22-I31</f>
        <v>14631000</v>
      </c>
      <c r="J37" s="189">
        <f>+J31+1</f>
        <v>78</v>
      </c>
      <c r="K37" s="3"/>
      <c r="L37" s="321"/>
    </row>
    <row r="38" spans="1:12">
      <c r="A38" s="41"/>
      <c r="B38" s="39"/>
      <c r="C38" s="41"/>
      <c r="D38" s="194"/>
      <c r="E38" s="194"/>
      <c r="F38" s="201"/>
      <c r="G38" s="41"/>
      <c r="H38" s="194"/>
      <c r="I38" s="194"/>
      <c r="J38" s="201"/>
      <c r="K38" s="3"/>
      <c r="L38" s="3"/>
    </row>
    <row r="39" spans="1:12">
      <c r="A39" s="41"/>
      <c r="B39" s="39" t="s">
        <v>219</v>
      </c>
      <c r="C39" s="41"/>
      <c r="D39" s="194"/>
      <c r="E39" s="194">
        <f>ROUND(SUM(D39:D41),-3)</f>
        <v>29711000</v>
      </c>
      <c r="F39" s="201">
        <f>+F37+1</f>
        <v>62</v>
      </c>
      <c r="G39" s="41"/>
      <c r="H39" s="194"/>
      <c r="I39" s="194">
        <v>0</v>
      </c>
      <c r="J39" s="201">
        <f>+J37+1</f>
        <v>79</v>
      </c>
      <c r="K39" s="3"/>
      <c r="L39" s="3"/>
    </row>
    <row r="40" spans="1:12">
      <c r="A40" s="41"/>
      <c r="B40" s="39"/>
      <c r="C40" s="41" t="s">
        <v>220</v>
      </c>
      <c r="D40" s="194">
        <v>29711000</v>
      </c>
      <c r="E40" s="194"/>
      <c r="F40" s="201"/>
      <c r="G40" s="41"/>
      <c r="H40" s="194"/>
      <c r="I40" s="194"/>
      <c r="J40" s="201"/>
      <c r="K40" s="3"/>
      <c r="L40" s="3"/>
    </row>
    <row r="41" spans="1:12">
      <c r="A41" s="41"/>
      <c r="B41" s="39"/>
      <c r="C41" s="41"/>
      <c r="D41" s="194"/>
      <c r="E41" s="194"/>
      <c r="F41" s="201"/>
      <c r="G41" s="41"/>
      <c r="H41" s="194"/>
      <c r="I41" s="194"/>
      <c r="J41" s="201"/>
      <c r="K41" s="3"/>
      <c r="L41" s="3"/>
    </row>
    <row r="42" spans="1:12">
      <c r="A42" s="41"/>
      <c r="B42" s="39" t="s">
        <v>171</v>
      </c>
      <c r="C42" s="41"/>
      <c r="D42" s="194"/>
      <c r="E42" s="194"/>
      <c r="F42" s="200"/>
      <c r="G42" s="41"/>
      <c r="H42" s="194"/>
      <c r="I42" s="194"/>
      <c r="J42" s="200"/>
      <c r="K42" s="3"/>
      <c r="L42" s="3"/>
    </row>
    <row r="43" spans="1:12">
      <c r="A43" s="41"/>
      <c r="B43" s="39" t="s">
        <v>172</v>
      </c>
      <c r="C43" s="41"/>
      <c r="D43" s="194">
        <v>0</v>
      </c>
      <c r="E43" s="194">
        <f>+ROUND(D43,-3)</f>
        <v>0</v>
      </c>
      <c r="F43" s="200" t="s">
        <v>221</v>
      </c>
      <c r="G43" s="41"/>
      <c r="H43" s="194"/>
      <c r="I43" s="194">
        <f>+ROUND(H43,-3)</f>
        <v>0</v>
      </c>
      <c r="J43" s="200" t="s">
        <v>222</v>
      </c>
      <c r="K43" s="3"/>
      <c r="L43" s="3"/>
    </row>
    <row r="44" spans="1:12">
      <c r="A44" s="41"/>
      <c r="B44" s="39"/>
      <c r="C44" s="41"/>
      <c r="D44" s="194"/>
      <c r="E44" s="194"/>
      <c r="F44" s="201"/>
      <c r="G44" s="41"/>
      <c r="H44" s="194"/>
      <c r="I44" s="194"/>
      <c r="J44" s="201"/>
      <c r="K44" s="3"/>
      <c r="L44" s="3"/>
    </row>
    <row r="45" spans="1:12">
      <c r="A45" s="41"/>
      <c r="B45" s="39" t="s">
        <v>181</v>
      </c>
      <c r="C45" s="41"/>
      <c r="D45" s="194"/>
      <c r="E45" s="194"/>
      <c r="F45" s="201"/>
      <c r="G45" s="41"/>
      <c r="H45" s="194"/>
      <c r="I45" s="194"/>
      <c r="J45" s="201"/>
      <c r="K45" s="3"/>
      <c r="L45" s="3"/>
    </row>
    <row r="46" spans="1:12">
      <c r="A46" s="41"/>
      <c r="B46" s="39"/>
      <c r="C46" s="41"/>
      <c r="D46" s="194"/>
      <c r="E46" s="194"/>
      <c r="F46" s="201"/>
      <c r="G46" s="41"/>
      <c r="H46" s="194"/>
      <c r="I46" s="194"/>
      <c r="J46" s="201"/>
      <c r="K46" s="3"/>
      <c r="L46" s="3"/>
    </row>
    <row r="47" spans="1:12">
      <c r="A47" s="41"/>
      <c r="B47" s="39" t="s">
        <v>183</v>
      </c>
      <c r="C47" s="41"/>
      <c r="D47" s="194"/>
      <c r="E47" s="194">
        <f>ROUND(SUM(D47:D48),-3)</f>
        <v>7987000</v>
      </c>
      <c r="F47" s="201" t="s">
        <v>223</v>
      </c>
      <c r="G47" s="41"/>
      <c r="H47" s="194"/>
      <c r="I47" s="194">
        <f>ROUND(SUM(H47:H48),-3)</f>
        <v>0</v>
      </c>
      <c r="J47" s="201" t="s">
        <v>224</v>
      </c>
      <c r="K47" s="3"/>
      <c r="L47" s="3"/>
    </row>
    <row r="48" spans="1:12">
      <c r="A48" s="41"/>
      <c r="B48" s="39"/>
      <c r="C48" s="41" t="s">
        <v>225</v>
      </c>
      <c r="D48" s="194">
        <f>15973000*50%</f>
        <v>7986500</v>
      </c>
      <c r="E48" s="194"/>
      <c r="F48" s="201"/>
      <c r="G48" s="41"/>
      <c r="H48" s="194"/>
      <c r="I48" s="194"/>
      <c r="J48" s="201"/>
      <c r="K48" s="3"/>
      <c r="L48" s="3"/>
    </row>
    <row r="49" spans="1:10">
      <c r="A49" s="41"/>
      <c r="B49" s="39"/>
      <c r="C49" s="41"/>
      <c r="D49" s="194"/>
      <c r="E49" s="194"/>
      <c r="F49" s="201"/>
      <c r="G49" s="41"/>
      <c r="H49" s="194"/>
      <c r="I49" s="194"/>
      <c r="J49" s="201"/>
    </row>
    <row r="50" spans="1:10">
      <c r="A50" s="41"/>
      <c r="B50" s="39"/>
      <c r="C50" s="41"/>
      <c r="D50" s="194"/>
      <c r="E50" s="194"/>
      <c r="F50" s="201"/>
      <c r="G50" s="41"/>
      <c r="H50" s="194"/>
      <c r="I50" s="194"/>
      <c r="J50" s="201"/>
    </row>
    <row r="51" spans="1:10">
      <c r="A51" s="41"/>
      <c r="B51" s="39" t="s">
        <v>226</v>
      </c>
      <c r="C51" s="41"/>
      <c r="D51" s="194"/>
      <c r="E51" s="335">
        <f>+ROUND(SUM(D51:D54),-3)</f>
        <v>7987000</v>
      </c>
      <c r="F51" s="201">
        <v>69</v>
      </c>
      <c r="G51" s="41"/>
      <c r="H51" s="194"/>
      <c r="I51" s="335">
        <f>+ROUND(SUM(H51:H54),-3)</f>
        <v>0</v>
      </c>
      <c r="J51" s="201">
        <v>86</v>
      </c>
    </row>
    <row r="52" spans="1:10">
      <c r="A52" s="41"/>
      <c r="B52" s="39"/>
      <c r="C52" s="41" t="s">
        <v>227</v>
      </c>
      <c r="D52" s="194">
        <f>+E43</f>
        <v>0</v>
      </c>
      <c r="E52" s="194"/>
      <c r="F52" s="201"/>
      <c r="G52" s="41"/>
      <c r="H52" s="194"/>
      <c r="I52" s="194"/>
      <c r="J52" s="201"/>
    </row>
    <row r="53" spans="1:10">
      <c r="A53" s="41"/>
      <c r="B53" s="39"/>
      <c r="C53" s="41" t="s">
        <v>228</v>
      </c>
      <c r="D53" s="196">
        <f>+E47</f>
        <v>7987000</v>
      </c>
      <c r="E53" s="194"/>
      <c r="F53" s="201"/>
      <c r="G53" s="41"/>
      <c r="H53" s="196"/>
      <c r="I53" s="194"/>
      <c r="J53" s="201"/>
    </row>
    <row r="54" spans="1:10">
      <c r="A54" s="41"/>
      <c r="B54" s="39"/>
      <c r="C54" s="41"/>
      <c r="D54" s="194"/>
      <c r="E54" s="194"/>
      <c r="F54" s="201"/>
      <c r="G54" s="41"/>
      <c r="H54" s="194"/>
      <c r="I54" s="194"/>
      <c r="J54" s="201"/>
    </row>
    <row r="55" spans="1:10">
      <c r="A55" s="41"/>
      <c r="B55" s="42" t="s">
        <v>192</v>
      </c>
      <c r="C55" s="15"/>
      <c r="D55" s="43"/>
      <c r="E55" s="202">
        <f>+E37+E39-E51</f>
        <v>64323000</v>
      </c>
      <c r="F55" s="189">
        <f>+F51+1</f>
        <v>70</v>
      </c>
      <c r="G55" s="41"/>
      <c r="H55" s="43"/>
      <c r="I55" s="202">
        <f>+I37+I39-I51</f>
        <v>14631000</v>
      </c>
      <c r="J55" s="189">
        <f>+J51+1</f>
        <v>87</v>
      </c>
    </row>
    <row r="56" spans="1:10">
      <c r="A56" s="41"/>
      <c r="B56" s="39"/>
      <c r="C56" s="41"/>
      <c r="D56" s="194"/>
      <c r="E56" s="194"/>
      <c r="F56" s="201"/>
      <c r="G56" s="41"/>
      <c r="H56" s="194"/>
      <c r="I56" s="194"/>
      <c r="J56" s="201"/>
    </row>
    <row r="57" spans="1:10">
      <c r="A57" s="41"/>
      <c r="B57" s="39" t="s">
        <v>193</v>
      </c>
      <c r="C57" s="41"/>
      <c r="D57" s="194"/>
      <c r="E57" s="194">
        <v>0</v>
      </c>
      <c r="F57" s="201">
        <f>+F55+1</f>
        <v>71</v>
      </c>
      <c r="G57" s="41"/>
      <c r="H57" s="194"/>
      <c r="I57" s="194">
        <v>0</v>
      </c>
      <c r="J57" s="201">
        <f>+J55+1</f>
        <v>88</v>
      </c>
    </row>
    <row r="58" spans="1:10">
      <c r="A58" s="41"/>
      <c r="B58" s="39" t="s">
        <v>194</v>
      </c>
      <c r="C58" s="41"/>
      <c r="D58" s="194"/>
      <c r="E58" s="194">
        <v>0</v>
      </c>
      <c r="F58" s="201">
        <f>+F57+1</f>
        <v>72</v>
      </c>
      <c r="G58" s="41"/>
      <c r="H58" s="194"/>
      <c r="I58" s="194">
        <v>0</v>
      </c>
      <c r="J58" s="201">
        <f>+J57+1</f>
        <v>89</v>
      </c>
    </row>
    <row r="59" spans="1:10" hidden="1">
      <c r="A59" s="41"/>
      <c r="B59" s="39"/>
      <c r="C59" s="41"/>
      <c r="D59" s="194"/>
      <c r="E59" s="194"/>
      <c r="F59" s="201"/>
      <c r="G59" s="41"/>
      <c r="H59" s="194"/>
      <c r="I59" s="194"/>
      <c r="J59" s="201"/>
    </row>
    <row r="60" spans="1:10" ht="13.5" hidden="1" thickBot="1">
      <c r="A60" s="41"/>
      <c r="B60" s="42" t="s">
        <v>195</v>
      </c>
      <c r="C60" s="15"/>
      <c r="D60" s="194"/>
      <c r="E60" s="198"/>
      <c r="F60" s="189">
        <f>+F58+1</f>
        <v>73</v>
      </c>
      <c r="G60" s="15"/>
      <c r="H60" s="43"/>
      <c r="I60" s="198"/>
      <c r="J60" s="189">
        <f>+J58+1</f>
        <v>90</v>
      </c>
    </row>
    <row r="61" spans="1:10">
      <c r="A61" s="41"/>
      <c r="B61" s="223"/>
      <c r="C61" s="139"/>
      <c r="D61" s="141"/>
      <c r="E61" s="141"/>
      <c r="F61" s="215"/>
      <c r="G61" s="41"/>
      <c r="H61" s="141"/>
      <c r="I61" s="141"/>
      <c r="J61" s="215"/>
    </row>
  </sheetData>
  <sheetProtection algorithmName="SHA-512" hashValue="0fLkIjSGbPFDxYZV7zsZEPYmIiTX1CUjDIGeqVwLlYQnDjJhiuMmNRxCw12CpiuEB2N4JXlwqGLfypLuz9S3Cw==" saltValue="DvS9SvijwAmIgCaq7UO5Xw==" spinCount="100000" sheet="1" objects="1" scenarios="1"/>
  <mergeCells count="2">
    <mergeCell ref="D6:F6"/>
    <mergeCell ref="H6:J6"/>
  </mergeCells>
  <printOptions horizontalCentered="1" verticalCentered="1"/>
  <pageMargins left="0.59055118110236227" right="0.59055118110236227" top="0.78740157480314965" bottom="0.78740157480314965" header="0" footer="0"/>
  <pageSetup orientation="landscape" horizontalDpi="4294967292" r:id="rId1"/>
  <headerFooter alignWithMargins="0"/>
  <ignoredErrors>
    <ignoredError sqref="D9:F9 B1:B3 D42 F46 F48:F50 F52:F53 D54:F59 J50:J60 I51 I55:I59 D13:J13 C10:J10 C19 E19:G19 I30:J33 E43 D11:J11 C32:C33 E32:G33 C30:G31 H18:H21 I19:J25 H23:H25 H29:H35 D60 F60 D14 E15:J15 C20:G21 D44:E53 I41:I47 C36:J38 C39:D39 E39:J39 C23:G25 C22:D22 E22:G2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0F3E-CD04-475B-854D-7003E854EBD6}">
  <dimension ref="A1:K59"/>
  <sheetViews>
    <sheetView workbookViewId="0">
      <selection activeCell="F3" sqref="F3"/>
    </sheetView>
  </sheetViews>
  <sheetFormatPr defaultColWidth="11.42578125" defaultRowHeight="12.75"/>
  <cols>
    <col min="1" max="1" width="1.7109375" style="1" customWidth="1"/>
    <col min="2" max="2" width="3.7109375" style="1" customWidth="1"/>
    <col min="3" max="3" width="41.28515625" style="1" customWidth="1"/>
    <col min="4" max="4" width="11.140625" style="1" bestFit="1" customWidth="1"/>
    <col min="5" max="5" width="11.140625" style="1" customWidth="1"/>
    <col min="6" max="6" width="12.42578125" style="1" bestFit="1" customWidth="1"/>
    <col min="7" max="7" width="12.28515625" style="2" bestFit="1" customWidth="1"/>
    <col min="8" max="8" width="11.140625" style="1" bestFit="1" customWidth="1"/>
    <col min="9" max="16384" width="11.42578125" style="1"/>
  </cols>
  <sheetData>
    <row r="1" spans="1:8">
      <c r="A1" s="41"/>
      <c r="B1" s="15" t="str">
        <f>+'ANEXOS - TABLA'!B1</f>
        <v>JORGE ENRIQUE CUÉLLAR GARCÍA</v>
      </c>
      <c r="C1" s="41"/>
      <c r="D1" s="41"/>
      <c r="E1" s="41"/>
      <c r="F1" s="41"/>
      <c r="G1" s="301"/>
      <c r="H1" s="41"/>
    </row>
    <row r="2" spans="1:8">
      <c r="A2" s="41"/>
      <c r="B2" s="15" t="str">
        <f>+'ANEXOS - TABLA'!B2</f>
        <v>NIT 79.378.917 - 5</v>
      </c>
      <c r="C2" s="41"/>
      <c r="D2" s="41"/>
      <c r="E2" s="41"/>
      <c r="F2" s="41"/>
      <c r="G2" s="301"/>
      <c r="H2" s="41"/>
    </row>
    <row r="3" spans="1:8">
      <c r="A3" s="41"/>
      <c r="B3" s="15" t="str">
        <f>+'ANEXOS - TABLA'!B3</f>
        <v>DECLARACION DE RENTA AÑO GRAVABLE 2024</v>
      </c>
      <c r="C3" s="41"/>
      <c r="D3" s="41"/>
      <c r="E3" s="41"/>
      <c r="F3" s="16" t="s">
        <v>229</v>
      </c>
      <c r="G3" s="301"/>
      <c r="H3" s="41"/>
    </row>
    <row r="4" spans="1:8">
      <c r="A4" s="41"/>
      <c r="B4" s="15" t="s">
        <v>13</v>
      </c>
      <c r="C4" s="41"/>
      <c r="D4" s="41"/>
      <c r="E4" s="41"/>
      <c r="F4" s="41"/>
      <c r="G4" s="301"/>
      <c r="H4" s="41"/>
    </row>
    <row r="5" spans="1:8">
      <c r="A5" s="41"/>
      <c r="B5" s="15"/>
      <c r="C5" s="41"/>
      <c r="D5" s="41"/>
      <c r="E5" s="41"/>
      <c r="F5" s="41"/>
      <c r="G5" s="301"/>
      <c r="H5" s="41"/>
    </row>
    <row r="6" spans="1:8">
      <c r="A6" s="41"/>
      <c r="B6" s="316"/>
      <c r="C6" s="123"/>
      <c r="D6" s="296" t="s">
        <v>230</v>
      </c>
      <c r="E6" s="297"/>
      <c r="F6" s="203" t="s">
        <v>231</v>
      </c>
      <c r="G6" s="36" t="s">
        <v>232</v>
      </c>
      <c r="H6" s="36" t="s">
        <v>233</v>
      </c>
    </row>
    <row r="7" spans="1:8">
      <c r="A7" s="41"/>
      <c r="B7" s="319"/>
      <c r="C7" s="204" t="s">
        <v>234</v>
      </c>
      <c r="D7" s="205">
        <v>1</v>
      </c>
      <c r="E7" s="205">
        <v>2</v>
      </c>
      <c r="F7" s="204" t="s">
        <v>235</v>
      </c>
      <c r="G7" s="37" t="s">
        <v>236</v>
      </c>
      <c r="H7" s="37" t="s">
        <v>237</v>
      </c>
    </row>
    <row r="8" spans="1:8">
      <c r="A8" s="41"/>
      <c r="B8" s="39"/>
      <c r="C8" s="41"/>
      <c r="D8" s="130"/>
      <c r="E8" s="329"/>
      <c r="F8" s="41"/>
      <c r="G8" s="130"/>
      <c r="H8" s="130"/>
    </row>
    <row r="9" spans="1:8">
      <c r="A9" s="41"/>
      <c r="B9" s="39" t="s">
        <v>199</v>
      </c>
      <c r="C9" s="41"/>
      <c r="D9" s="194">
        <f>+'5. Trabajo'!E10</f>
        <v>242523000</v>
      </c>
      <c r="E9" s="194">
        <f>+'5. Trabajo'!I10</f>
        <v>154300000</v>
      </c>
      <c r="F9" s="216">
        <f>+'6. Cap y No Lab'!E10</f>
        <v>81410000</v>
      </c>
      <c r="G9" s="194">
        <f>+'6. Cap y No Lab'!I10</f>
        <v>46677000</v>
      </c>
      <c r="H9" s="194">
        <f>SUM(D9:G9)</f>
        <v>524910000</v>
      </c>
    </row>
    <row r="10" spans="1:8">
      <c r="A10" s="41"/>
      <c r="B10" s="39" t="s">
        <v>208</v>
      </c>
      <c r="C10" s="41"/>
      <c r="D10" s="221"/>
      <c r="E10" s="221"/>
      <c r="F10" s="219"/>
      <c r="G10" s="194">
        <f>+'6. Cap y No Lab'!I20</f>
        <v>0</v>
      </c>
      <c r="H10" s="194">
        <f>SUM(D10:G10)</f>
        <v>0</v>
      </c>
    </row>
    <row r="11" spans="1:8">
      <c r="A11" s="41"/>
      <c r="B11" s="39" t="s">
        <v>160</v>
      </c>
      <c r="C11" s="41"/>
      <c r="D11" s="194">
        <f>+'5. Trabajo'!E18</f>
        <v>14580000</v>
      </c>
      <c r="E11" s="194">
        <f>+'5. Trabajo'!I18</f>
        <v>17590000</v>
      </c>
      <c r="F11" s="216">
        <f>+'6. Cap y No Lab'!E22</f>
        <v>26885000</v>
      </c>
      <c r="G11" s="194">
        <f>+'6. Cap y No Lab'!I22</f>
        <v>17796000</v>
      </c>
      <c r="H11" s="194">
        <f>SUM(D11:G11)</f>
        <v>76851000</v>
      </c>
    </row>
    <row r="12" spans="1:8">
      <c r="A12" s="41"/>
      <c r="B12" s="39"/>
      <c r="C12" s="41"/>
      <c r="D12" s="194"/>
      <c r="E12" s="194"/>
      <c r="F12" s="41"/>
      <c r="G12" s="130"/>
      <c r="H12" s="130"/>
    </row>
    <row r="13" spans="1:8">
      <c r="A13" s="41"/>
      <c r="B13" s="42" t="s">
        <v>238</v>
      </c>
      <c r="C13" s="15"/>
      <c r="D13" s="199">
        <f>+D9-D11</f>
        <v>227943000</v>
      </c>
      <c r="E13" s="199">
        <f>+E9-E11</f>
        <v>136710000</v>
      </c>
      <c r="F13" s="199">
        <f>+F9-F11</f>
        <v>54525000</v>
      </c>
      <c r="G13" s="199">
        <f>+G9-G10-G11</f>
        <v>28881000</v>
      </c>
      <c r="H13" s="206">
        <f>+H9-H10-H11</f>
        <v>448059000</v>
      </c>
    </row>
    <row r="14" spans="1:8">
      <c r="A14" s="41"/>
      <c r="B14" s="39"/>
      <c r="C14" s="41"/>
      <c r="D14" s="194"/>
      <c r="E14" s="194"/>
      <c r="F14" s="41"/>
      <c r="G14" s="130"/>
      <c r="H14" s="130"/>
    </row>
    <row r="15" spans="1:8">
      <c r="A15" s="41"/>
      <c r="B15" s="39" t="s">
        <v>215</v>
      </c>
      <c r="C15" s="41"/>
      <c r="D15" s="221"/>
      <c r="E15" s="194">
        <f>+'5. Trabajo'!I24</f>
        <v>67862000</v>
      </c>
      <c r="F15" s="216">
        <f>+'6. Cap y No Lab'!E31</f>
        <v>11926000</v>
      </c>
      <c r="G15" s="194">
        <f>+'6. Cap y No Lab'!I31</f>
        <v>14250000</v>
      </c>
      <c r="H15" s="194">
        <f>SUM(D15:G15)</f>
        <v>94038000</v>
      </c>
    </row>
    <row r="16" spans="1:8">
      <c r="A16" s="41"/>
      <c r="B16" s="39" t="s">
        <v>239</v>
      </c>
      <c r="C16" s="41"/>
      <c r="D16" s="221"/>
      <c r="E16" s="221"/>
      <c r="F16" s="216">
        <f>+'6. Cap y No Lab'!E39</f>
        <v>29711000</v>
      </c>
      <c r="G16" s="194">
        <f>+'6. Cap y No Lab'!I39</f>
        <v>0</v>
      </c>
      <c r="H16" s="194">
        <f>SUM(D16:G16)</f>
        <v>29711000</v>
      </c>
    </row>
    <row r="17" spans="1:11">
      <c r="A17" s="41"/>
      <c r="B17" s="39"/>
      <c r="C17" s="41"/>
      <c r="D17" s="130"/>
      <c r="E17" s="130"/>
      <c r="F17" s="41"/>
      <c r="G17" s="130"/>
      <c r="H17" s="130"/>
      <c r="I17" s="3"/>
      <c r="J17" s="3"/>
      <c r="K17" s="3"/>
    </row>
    <row r="18" spans="1:11">
      <c r="A18" s="41"/>
      <c r="B18" s="39" t="s">
        <v>170</v>
      </c>
      <c r="C18" s="41"/>
      <c r="D18" s="199">
        <f>+D13-D15</f>
        <v>227943000</v>
      </c>
      <c r="E18" s="199">
        <f>+E13-E15</f>
        <v>68848000</v>
      </c>
      <c r="F18" s="207">
        <f>+F13-F15+F16</f>
        <v>72310000</v>
      </c>
      <c r="G18" s="207">
        <f>+G13-G15+G16</f>
        <v>14631000</v>
      </c>
      <c r="H18" s="208">
        <f>+H13-H15+H16</f>
        <v>383732000</v>
      </c>
      <c r="I18" s="3"/>
      <c r="J18" s="3"/>
      <c r="K18" s="321"/>
    </row>
    <row r="19" spans="1:11">
      <c r="A19" s="41"/>
      <c r="B19" s="39"/>
      <c r="C19" s="41"/>
      <c r="D19" s="130"/>
      <c r="E19" s="130"/>
      <c r="F19" s="41"/>
      <c r="G19" s="130"/>
      <c r="H19" s="130"/>
      <c r="I19" s="3"/>
      <c r="J19" s="3"/>
      <c r="K19" s="3"/>
    </row>
    <row r="20" spans="1:11">
      <c r="A20" s="41"/>
      <c r="B20" s="42" t="s">
        <v>240</v>
      </c>
      <c r="C20" s="41"/>
      <c r="D20" s="130"/>
      <c r="E20" s="130"/>
      <c r="F20" s="41"/>
      <c r="G20" s="130"/>
      <c r="H20" s="130"/>
      <c r="I20" s="3"/>
      <c r="J20" s="3"/>
      <c r="K20" s="3"/>
    </row>
    <row r="21" spans="1:11">
      <c r="A21" s="41"/>
      <c r="B21" s="39"/>
      <c r="C21" s="41" t="s">
        <v>241</v>
      </c>
      <c r="D21" s="194"/>
      <c r="E21" s="194"/>
      <c r="F21" s="41"/>
      <c r="G21" s="130"/>
      <c r="H21" s="209">
        <f>FLOOR(+H13*40%,1000)</f>
        <v>179223000</v>
      </c>
      <c r="I21" s="3"/>
      <c r="J21" s="3"/>
      <c r="K21" s="3"/>
    </row>
    <row r="22" spans="1:11">
      <c r="A22" s="41"/>
      <c r="B22" s="39"/>
      <c r="C22" s="41" t="s">
        <v>242</v>
      </c>
      <c r="D22" s="194"/>
      <c r="E22" s="194"/>
      <c r="F22" s="41"/>
      <c r="G22" s="130"/>
      <c r="H22" s="194">
        <f>ROUND(1340*'ANEXOS - TABLA'!C28,-3)</f>
        <v>63067000</v>
      </c>
      <c r="I22" s="3"/>
      <c r="J22" s="321"/>
      <c r="K22" s="3"/>
    </row>
    <row r="23" spans="1:11">
      <c r="A23" s="41"/>
      <c r="B23" s="39"/>
      <c r="C23" s="41"/>
      <c r="D23" s="194"/>
      <c r="E23" s="194"/>
      <c r="F23" s="41"/>
      <c r="G23" s="130"/>
      <c r="H23" s="130"/>
      <c r="I23" s="3"/>
      <c r="J23" s="321"/>
      <c r="K23" s="3"/>
    </row>
    <row r="24" spans="1:11">
      <c r="A24" s="41"/>
      <c r="B24" s="39" t="s">
        <v>243</v>
      </c>
      <c r="C24" s="41"/>
      <c r="D24" s="194"/>
      <c r="E24" s="194"/>
      <c r="F24" s="41"/>
      <c r="G24" s="130"/>
      <c r="H24" s="130"/>
      <c r="I24" s="3"/>
      <c r="J24" s="321"/>
      <c r="K24" s="3"/>
    </row>
    <row r="25" spans="1:11">
      <c r="A25" s="41"/>
      <c r="B25" s="39"/>
      <c r="C25" s="41" t="s">
        <v>190</v>
      </c>
      <c r="D25" s="194">
        <f>+'5. Trabajo'!D58</f>
        <v>95849000</v>
      </c>
      <c r="E25" s="194">
        <f>+'5. Trabajo'!H58</f>
        <v>37200000</v>
      </c>
      <c r="F25" s="216">
        <f>+'6. Cap y No Lab'!D52</f>
        <v>0</v>
      </c>
      <c r="G25" s="194">
        <f>+'6. Cap y No Lab'!H52</f>
        <v>0</v>
      </c>
      <c r="H25" s="194">
        <f>SUM(D25:G25)</f>
        <v>133049000</v>
      </c>
      <c r="I25" s="3"/>
      <c r="J25" s="321"/>
      <c r="K25" s="3"/>
    </row>
    <row r="26" spans="1:11">
      <c r="A26" s="41"/>
      <c r="B26" s="39"/>
      <c r="C26" s="41" t="s">
        <v>191</v>
      </c>
      <c r="D26" s="194">
        <f>+'5. Trabajo'!D59</f>
        <v>27109000</v>
      </c>
      <c r="E26" s="194">
        <f>+'5. Trabajo'!H59</f>
        <v>21138000</v>
      </c>
      <c r="F26" s="216">
        <f>+'6. Cap y No Lab'!D53</f>
        <v>7987000</v>
      </c>
      <c r="G26" s="194">
        <f>+'6. Cap y No Lab'!H53</f>
        <v>0</v>
      </c>
      <c r="H26" s="196">
        <f>SUM(D26:G26)</f>
        <v>56234000</v>
      </c>
      <c r="I26" s="3"/>
      <c r="J26" s="321"/>
      <c r="K26" s="3"/>
    </row>
    <row r="27" spans="1:11">
      <c r="A27" s="41"/>
      <c r="B27" s="39"/>
      <c r="C27" s="41"/>
      <c r="D27" s="194"/>
      <c r="E27" s="194"/>
      <c r="F27" s="216"/>
      <c r="G27" s="194"/>
      <c r="H27" s="336">
        <f>+H25+H26</f>
        <v>189283000</v>
      </c>
      <c r="I27" s="3"/>
      <c r="J27" s="321"/>
      <c r="K27" s="3"/>
    </row>
    <row r="28" spans="1:11">
      <c r="A28" s="41"/>
      <c r="B28" s="39"/>
      <c r="C28" s="41"/>
      <c r="D28" s="194"/>
      <c r="E28" s="194"/>
      <c r="F28" s="41"/>
      <c r="G28" s="130"/>
      <c r="H28" s="322">
        <f>IF(H27&gt;H22,H22/H27,1)</f>
        <v>0.33318892874690281</v>
      </c>
      <c r="I28" s="3"/>
      <c r="J28" s="321"/>
      <c r="K28" s="3"/>
    </row>
    <row r="29" spans="1:11">
      <c r="A29" s="41"/>
      <c r="B29" s="39"/>
      <c r="C29" s="41"/>
      <c r="D29" s="194"/>
      <c r="E29" s="194"/>
      <c r="F29" s="41"/>
      <c r="G29" s="130"/>
      <c r="H29" s="194"/>
      <c r="I29" s="3"/>
      <c r="J29" s="321"/>
      <c r="K29" s="3"/>
    </row>
    <row r="30" spans="1:11">
      <c r="A30" s="41"/>
      <c r="B30" s="42" t="s">
        <v>244</v>
      </c>
      <c r="C30" s="41"/>
      <c r="D30" s="130"/>
      <c r="E30" s="130"/>
      <c r="F30" s="41"/>
      <c r="G30" s="130"/>
      <c r="H30" s="194"/>
      <c r="I30" s="3"/>
      <c r="J30" s="3"/>
      <c r="K30" s="3"/>
    </row>
    <row r="31" spans="1:11">
      <c r="A31" s="41"/>
      <c r="B31" s="39"/>
      <c r="C31" s="41" t="s">
        <v>245</v>
      </c>
      <c r="D31" s="130"/>
      <c r="E31" s="130"/>
      <c r="F31" s="41"/>
      <c r="G31" s="130"/>
      <c r="H31" s="337">
        <f>+H22</f>
        <v>63067000</v>
      </c>
      <c r="I31" s="3"/>
      <c r="J31" s="3"/>
      <c r="K31" s="3"/>
    </row>
    <row r="32" spans="1:11">
      <c r="A32" s="41"/>
      <c r="B32" s="39"/>
      <c r="C32" s="41" t="s">
        <v>189</v>
      </c>
      <c r="D32" s="130"/>
      <c r="E32" s="130"/>
      <c r="F32" s="41"/>
      <c r="G32" s="130"/>
      <c r="H32" s="194"/>
      <c r="I32" s="3"/>
      <c r="J32" s="3"/>
      <c r="K32" s="3"/>
    </row>
    <row r="33" spans="1:8">
      <c r="A33" s="41"/>
      <c r="B33" s="39"/>
      <c r="C33" s="41" t="s">
        <v>246</v>
      </c>
      <c r="D33" s="194">
        <f>+'5. Trabajo'!D57</f>
        <v>25000000</v>
      </c>
      <c r="E33" s="194"/>
      <c r="F33" s="41"/>
      <c r="G33" s="130"/>
      <c r="H33" s="194">
        <f>+D33</f>
        <v>25000000</v>
      </c>
    </row>
    <row r="34" spans="1:8">
      <c r="A34" s="41"/>
      <c r="B34" s="39"/>
      <c r="C34" s="41" t="s">
        <v>247</v>
      </c>
      <c r="D34" s="194"/>
      <c r="E34" s="194"/>
      <c r="F34" s="41"/>
      <c r="G34" s="130"/>
      <c r="H34" s="194"/>
    </row>
    <row r="35" spans="1:8">
      <c r="A35" s="41"/>
      <c r="B35" s="39"/>
      <c r="C35" s="41" t="s">
        <v>248</v>
      </c>
      <c r="D35" s="194"/>
      <c r="E35" s="194"/>
      <c r="F35" s="41"/>
      <c r="G35" s="130"/>
      <c r="H35" s="194">
        <f>ROUND(180490000*1%,-3)</f>
        <v>1805000</v>
      </c>
    </row>
    <row r="36" spans="1:8">
      <c r="A36" s="41"/>
      <c r="B36" s="39"/>
      <c r="C36" s="41" t="s">
        <v>249</v>
      </c>
      <c r="D36" s="194"/>
      <c r="E36" s="194"/>
      <c r="F36" s="41"/>
      <c r="G36" s="130"/>
      <c r="H36" s="194">
        <f>+'10. Impto - Pago'!F77</f>
        <v>6777000</v>
      </c>
    </row>
    <row r="37" spans="1:8">
      <c r="A37" s="41"/>
      <c r="B37" s="39"/>
      <c r="C37" s="41"/>
      <c r="D37" s="194"/>
      <c r="E37" s="194"/>
      <c r="F37" s="41"/>
      <c r="G37" s="130"/>
      <c r="H37" s="194"/>
    </row>
    <row r="38" spans="1:8">
      <c r="A38" s="41"/>
      <c r="B38" s="39"/>
      <c r="C38" s="15" t="s">
        <v>250</v>
      </c>
      <c r="D38" s="194"/>
      <c r="E38" s="194"/>
      <c r="F38" s="41"/>
      <c r="G38" s="130"/>
      <c r="H38" s="210">
        <f>SUM(H31:H37)</f>
        <v>96649000</v>
      </c>
    </row>
    <row r="39" spans="1:8">
      <c r="A39" s="41"/>
      <c r="B39" s="223"/>
      <c r="C39" s="139"/>
      <c r="D39" s="196"/>
      <c r="E39" s="196"/>
      <c r="F39" s="338"/>
      <c r="G39" s="196"/>
      <c r="H39" s="332"/>
    </row>
    <row r="40" spans="1:8">
      <c r="A40" s="41"/>
      <c r="B40" s="41"/>
      <c r="C40" s="41"/>
      <c r="D40" s="41"/>
      <c r="E40" s="41"/>
      <c r="F40" s="41"/>
      <c r="G40" s="41"/>
      <c r="H40" s="301"/>
    </row>
    <row r="41" spans="1:8">
      <c r="A41" s="41"/>
      <c r="B41" s="41"/>
      <c r="C41" s="41"/>
      <c r="D41" s="216"/>
      <c r="E41" s="216"/>
      <c r="F41" s="216"/>
      <c r="G41" s="216"/>
      <c r="H41" s="301"/>
    </row>
    <row r="42" spans="1:8">
      <c r="A42" s="41"/>
      <c r="B42" s="316"/>
      <c r="C42" s="123"/>
      <c r="D42" s="123"/>
      <c r="E42" s="326"/>
      <c r="F42" s="36" t="s">
        <v>41</v>
      </c>
      <c r="G42" s="318"/>
      <c r="H42" s="41"/>
    </row>
    <row r="43" spans="1:8">
      <c r="A43" s="41"/>
      <c r="B43" s="319"/>
      <c r="C43" s="127"/>
      <c r="D43" s="204"/>
      <c r="E43" s="38"/>
      <c r="F43" s="37" t="s">
        <v>44</v>
      </c>
      <c r="G43" s="38" t="s">
        <v>45</v>
      </c>
      <c r="H43" s="41"/>
    </row>
    <row r="44" spans="1:8">
      <c r="A44" s="41"/>
      <c r="B44" s="339"/>
      <c r="C44" s="340"/>
      <c r="D44" s="340"/>
      <c r="E44" s="341"/>
      <c r="F44" s="329"/>
      <c r="G44" s="211"/>
      <c r="H44" s="41"/>
    </row>
    <row r="45" spans="1:8">
      <c r="A45" s="41"/>
      <c r="B45" s="42" t="s">
        <v>251</v>
      </c>
      <c r="C45" s="15"/>
      <c r="D45" s="15"/>
      <c r="E45" s="342"/>
      <c r="F45" s="343">
        <f>+'5. Trabajo'!E30+'5. Trabajo'!I30+'6. Cap y No Lab'!E37+'6. Cap y No Lab'!E39+'6. Cap y No Lab'!I37+'6. Cap y No Lab'!I39</f>
        <v>383732000</v>
      </c>
      <c r="G45" s="197">
        <f>+'6. Cap y No Lab'!J60+1</f>
        <v>91</v>
      </c>
      <c r="H45" s="41"/>
    </row>
    <row r="46" spans="1:8">
      <c r="A46" s="41"/>
      <c r="B46" s="42" t="s">
        <v>252</v>
      </c>
      <c r="C46" s="15"/>
      <c r="D46" s="15"/>
      <c r="E46" s="342"/>
      <c r="F46" s="344">
        <f>ROUND(+H38,-3)</f>
        <v>96649000</v>
      </c>
      <c r="G46" s="197">
        <f>+G45+1</f>
        <v>92</v>
      </c>
      <c r="H46" s="41"/>
    </row>
    <row r="47" spans="1:8">
      <c r="A47" s="41"/>
      <c r="B47" s="42" t="s">
        <v>253</v>
      </c>
      <c r="C47" s="15"/>
      <c r="D47" s="15"/>
      <c r="E47" s="342"/>
      <c r="F47" s="194">
        <f>+F45-F46</f>
        <v>287083000</v>
      </c>
      <c r="G47" s="197">
        <f>+G46+1</f>
        <v>93</v>
      </c>
      <c r="H47" s="41"/>
    </row>
    <row r="48" spans="1:8">
      <c r="A48" s="41"/>
      <c r="B48" s="39"/>
      <c r="C48" s="41"/>
      <c r="D48" s="41"/>
      <c r="E48" s="342"/>
      <c r="F48" s="194"/>
      <c r="G48" s="197"/>
      <c r="H48" s="41"/>
    </row>
    <row r="49" spans="1:9">
      <c r="A49" s="41"/>
      <c r="B49" s="39" t="s">
        <v>254</v>
      </c>
      <c r="C49" s="41"/>
      <c r="D49" s="41"/>
      <c r="E49" s="342"/>
      <c r="F49" s="194">
        <v>0</v>
      </c>
      <c r="G49" s="197">
        <f>+G47+1</f>
        <v>94</v>
      </c>
      <c r="H49" s="41"/>
      <c r="I49" s="3"/>
    </row>
    <row r="50" spans="1:9">
      <c r="A50" s="41"/>
      <c r="B50" s="39" t="s">
        <v>255</v>
      </c>
      <c r="C50" s="41"/>
      <c r="D50" s="41"/>
      <c r="E50" s="342"/>
      <c r="F50" s="194">
        <v>0</v>
      </c>
      <c r="G50" s="197">
        <f>+G49+1</f>
        <v>95</v>
      </c>
      <c r="H50" s="41"/>
      <c r="I50" s="3"/>
    </row>
    <row r="51" spans="1:9">
      <c r="A51" s="41"/>
      <c r="B51" s="39" t="s">
        <v>256</v>
      </c>
      <c r="C51" s="41"/>
      <c r="D51" s="41"/>
      <c r="E51" s="342"/>
      <c r="F51" s="196">
        <v>0</v>
      </c>
      <c r="G51" s="197">
        <f>+G50+1</f>
        <v>96</v>
      </c>
      <c r="H51" s="41"/>
      <c r="I51" s="3"/>
    </row>
    <row r="52" spans="1:9">
      <c r="A52" s="41"/>
      <c r="B52" s="39"/>
      <c r="C52" s="41"/>
      <c r="D52" s="41"/>
      <c r="E52" s="342"/>
      <c r="F52" s="194"/>
      <c r="G52" s="212"/>
      <c r="H52" s="41"/>
      <c r="I52" s="3"/>
    </row>
    <row r="53" spans="1:9" ht="13.5" thickBot="1">
      <c r="A53" s="41"/>
      <c r="B53" s="42" t="s">
        <v>257</v>
      </c>
      <c r="C53" s="15"/>
      <c r="D53" s="15"/>
      <c r="E53" s="213"/>
      <c r="F53" s="214">
        <f>+F47-F49-F50+F51</f>
        <v>287083000</v>
      </c>
      <c r="G53" s="197">
        <f>+G51+1</f>
        <v>97</v>
      </c>
      <c r="H53" s="41"/>
      <c r="I53" s="3"/>
    </row>
    <row r="54" spans="1:9" ht="13.5" thickTop="1">
      <c r="A54" s="41"/>
      <c r="B54" s="39"/>
      <c r="C54" s="41"/>
      <c r="D54" s="41"/>
      <c r="E54" s="342"/>
      <c r="F54" s="194"/>
      <c r="G54" s="197"/>
      <c r="H54" s="41"/>
      <c r="I54" s="3"/>
    </row>
    <row r="55" spans="1:9">
      <c r="A55" s="41"/>
      <c r="B55" s="39" t="s">
        <v>258</v>
      </c>
      <c r="C55" s="41"/>
      <c r="D55" s="41"/>
      <c r="E55" s="342">
        <v>0</v>
      </c>
      <c r="F55" s="194">
        <f>+ROUND(E55,-3)</f>
        <v>0</v>
      </c>
      <c r="G55" s="197">
        <f>+G53+1</f>
        <v>98</v>
      </c>
      <c r="H55" s="41"/>
      <c r="I55" s="3"/>
    </row>
    <row r="56" spans="1:9">
      <c r="A56" s="41"/>
      <c r="B56" s="223"/>
      <c r="C56" s="139"/>
      <c r="D56" s="139"/>
      <c r="E56" s="333"/>
      <c r="F56" s="141"/>
      <c r="G56" s="215"/>
      <c r="H56" s="41"/>
      <c r="I56" s="3"/>
    </row>
    <row r="59" spans="1:9">
      <c r="A59" s="3"/>
      <c r="B59" s="3"/>
      <c r="C59" s="3"/>
      <c r="D59" s="3"/>
      <c r="E59" s="3"/>
      <c r="F59" s="3"/>
      <c r="G59" s="3"/>
      <c r="H59" s="325"/>
      <c r="I59" s="3"/>
    </row>
  </sheetData>
  <sheetProtection algorithmName="SHA-512" hashValue="TDiun0EHix2vCd3PRu6CahIvDxfLHMGc7mpY65kK/H6Wamr3hDRgqM8018clhhg/Y08p9uC8kT1qnLj8/xpkAg==" saltValue="j41bftEM7HeXZM3sFvdTXw==" spinCount="100000" sheet="1" objects="1" scenarios="1"/>
  <mergeCells count="1">
    <mergeCell ref="D6:E6"/>
  </mergeCells>
  <pageMargins left="0.70866141732283472" right="0.59055118110236227" top="0.74803149606299213" bottom="0.74803149606299213" header="0.31496062992125984" footer="0.31496062992125984"/>
  <pageSetup scale="85" orientation="portrait" r:id="rId1"/>
  <ignoredErrors>
    <ignoredError sqref="B1:H2 D33 D19:E19 B5:H5 B3:E3 G3:H3 D21 F21:G21 D22:G26 D28:G28 C4:H4 F46:G56 H21:H30 D8:H14 D18:E18 D16:E16 H19 F19:G19 F16:G18 D15:H15 H16:H18 F45:G45 H31:H38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4"/>
  <sheetViews>
    <sheetView workbookViewId="0">
      <selection activeCell="F3" sqref="F3"/>
    </sheetView>
  </sheetViews>
  <sheetFormatPr defaultColWidth="11.42578125" defaultRowHeight="12.75"/>
  <cols>
    <col min="1" max="1" width="1.7109375" style="1" customWidth="1"/>
    <col min="2" max="2" width="3.7109375" style="1" customWidth="1"/>
    <col min="3" max="3" width="45.28515625" style="1" customWidth="1"/>
    <col min="4" max="5" width="11.7109375" style="1" customWidth="1"/>
    <col min="6" max="6" width="12.42578125" style="1" bestFit="1" customWidth="1"/>
    <col min="7" max="7" width="10" style="2" bestFit="1" customWidth="1"/>
    <col min="8" max="16384" width="11.42578125" style="1"/>
  </cols>
  <sheetData>
    <row r="1" spans="1:7">
      <c r="A1" s="41"/>
      <c r="B1" s="15" t="str">
        <f>+'ANEXOS - TABLA'!B1</f>
        <v>JORGE ENRIQUE CUÉLLAR GARCÍA</v>
      </c>
      <c r="C1" s="41"/>
      <c r="D1" s="41"/>
      <c r="E1" s="41"/>
      <c r="F1" s="41"/>
      <c r="G1" s="301"/>
    </row>
    <row r="2" spans="1:7">
      <c r="A2" s="41"/>
      <c r="B2" s="15" t="str">
        <f>+'ANEXOS - TABLA'!B2</f>
        <v>NIT 79.378.917 - 5</v>
      </c>
      <c r="C2" s="41"/>
      <c r="D2" s="41"/>
      <c r="E2" s="41"/>
      <c r="F2" s="41"/>
      <c r="G2" s="301"/>
    </row>
    <row r="3" spans="1:7">
      <c r="A3" s="41"/>
      <c r="B3" s="15" t="str">
        <f>+'ANEXOS - TABLA'!B3</f>
        <v>DECLARACION DE RENTA AÑO GRAVABLE 2024</v>
      </c>
      <c r="C3" s="41"/>
      <c r="D3" s="41"/>
      <c r="E3" s="41"/>
      <c r="F3" s="16" t="s">
        <v>259</v>
      </c>
      <c r="G3" s="301"/>
    </row>
    <row r="4" spans="1:7">
      <c r="A4" s="41"/>
      <c r="B4" s="15" t="s">
        <v>260</v>
      </c>
      <c r="C4" s="41"/>
      <c r="D4" s="41"/>
      <c r="E4" s="41"/>
      <c r="F4" s="41"/>
      <c r="G4" s="301"/>
    </row>
    <row r="5" spans="1:7">
      <c r="A5" s="41"/>
      <c r="B5" s="15"/>
      <c r="C5" s="41"/>
      <c r="D5" s="41"/>
      <c r="E5" s="41"/>
      <c r="F5" s="41"/>
      <c r="G5" s="301"/>
    </row>
    <row r="6" spans="1:7">
      <c r="A6" s="41"/>
      <c r="B6" s="316"/>
      <c r="C6" s="123"/>
      <c r="D6" s="317"/>
      <c r="E6" s="123"/>
      <c r="F6" s="36" t="s">
        <v>41</v>
      </c>
      <c r="G6" s="318"/>
    </row>
    <row r="7" spans="1:7">
      <c r="A7" s="41"/>
      <c r="B7" s="319"/>
      <c r="C7" s="127"/>
      <c r="D7" s="37" t="s">
        <v>42</v>
      </c>
      <c r="E7" s="204" t="s">
        <v>43</v>
      </c>
      <c r="F7" s="37" t="s">
        <v>44</v>
      </c>
      <c r="G7" s="38" t="s">
        <v>45</v>
      </c>
    </row>
    <row r="8" spans="1:7">
      <c r="A8" s="41"/>
      <c r="B8" s="39"/>
      <c r="C8" s="41"/>
      <c r="D8" s="130"/>
      <c r="E8" s="41"/>
      <c r="F8" s="130"/>
      <c r="G8" s="320"/>
    </row>
    <row r="9" spans="1:7">
      <c r="A9" s="41"/>
      <c r="B9" s="109" t="s">
        <v>261</v>
      </c>
      <c r="C9" s="41"/>
      <c r="D9" s="130"/>
      <c r="E9" s="216"/>
      <c r="F9" s="194"/>
      <c r="G9" s="320"/>
    </row>
    <row r="10" spans="1:7">
      <c r="A10" s="41"/>
      <c r="B10" s="39"/>
      <c r="C10" s="41"/>
      <c r="D10" s="194"/>
      <c r="E10" s="216"/>
      <c r="F10" s="194"/>
      <c r="G10" s="201"/>
    </row>
    <row r="11" spans="1:7" hidden="1">
      <c r="A11" s="41"/>
      <c r="B11" s="39" t="s">
        <v>262</v>
      </c>
      <c r="C11" s="41"/>
      <c r="D11" s="194"/>
      <c r="E11" s="345"/>
      <c r="F11" s="194">
        <v>0</v>
      </c>
      <c r="G11" s="201">
        <v>99</v>
      </c>
    </row>
    <row r="12" spans="1:7" hidden="1">
      <c r="A12" s="41"/>
      <c r="B12" s="39" t="s">
        <v>160</v>
      </c>
      <c r="C12" s="41"/>
      <c r="D12" s="130"/>
      <c r="E12" s="345"/>
      <c r="F12" s="196">
        <v>0</v>
      </c>
      <c r="G12" s="197">
        <f>+G11+1</f>
        <v>100</v>
      </c>
    </row>
    <row r="13" spans="1:7" hidden="1">
      <c r="A13" s="41"/>
      <c r="B13" s="39" t="s">
        <v>170</v>
      </c>
      <c r="C13" s="41"/>
      <c r="D13" s="194"/>
      <c r="E13" s="216"/>
      <c r="F13" s="194">
        <f>+F11-F12</f>
        <v>0</v>
      </c>
      <c r="G13" s="197">
        <f>+G12+1</f>
        <v>101</v>
      </c>
    </row>
    <row r="14" spans="1:7" hidden="1">
      <c r="A14" s="41"/>
      <c r="B14" s="39" t="s">
        <v>263</v>
      </c>
      <c r="C14" s="41"/>
      <c r="D14" s="194"/>
      <c r="E14" s="216"/>
      <c r="F14" s="196">
        <v>0</v>
      </c>
      <c r="G14" s="197">
        <f>+G13+1</f>
        <v>102</v>
      </c>
    </row>
    <row r="15" spans="1:7">
      <c r="A15" s="41"/>
      <c r="B15" s="39"/>
      <c r="C15" s="41"/>
      <c r="D15" s="194"/>
      <c r="E15" s="194"/>
      <c r="F15" s="194"/>
      <c r="G15" s="201"/>
    </row>
    <row r="16" spans="1:7" ht="13.5" thickBot="1">
      <c r="A16" s="41"/>
      <c r="B16" s="42" t="s">
        <v>264</v>
      </c>
      <c r="C16" s="15"/>
      <c r="D16" s="43"/>
      <c r="E16" s="216"/>
      <c r="F16" s="214">
        <f>+F13-F14</f>
        <v>0</v>
      </c>
      <c r="G16" s="197">
        <f>+G14+1</f>
        <v>103</v>
      </c>
    </row>
    <row r="17" spans="1:9" ht="13.5" thickTop="1">
      <c r="A17" s="41"/>
      <c r="B17" s="223"/>
      <c r="C17" s="139"/>
      <c r="D17" s="196"/>
      <c r="E17" s="338"/>
      <c r="F17" s="196"/>
      <c r="G17" s="323"/>
      <c r="H17" s="3"/>
      <c r="I17" s="3"/>
    </row>
    <row r="18" spans="1:9">
      <c r="A18" s="41"/>
      <c r="B18" s="346"/>
      <c r="C18" s="346"/>
      <c r="D18" s="346"/>
      <c r="E18" s="346"/>
      <c r="F18" s="346"/>
      <c r="G18" s="347"/>
      <c r="H18" s="3"/>
      <c r="I18" s="3"/>
    </row>
    <row r="19" spans="1:9">
      <c r="A19" s="41"/>
      <c r="B19" s="39"/>
      <c r="C19" s="41"/>
      <c r="D19" s="130"/>
      <c r="E19" s="41"/>
      <c r="F19" s="130"/>
      <c r="G19" s="320"/>
      <c r="H19" s="3"/>
      <c r="I19" s="3"/>
    </row>
    <row r="20" spans="1:9">
      <c r="A20" s="41"/>
      <c r="B20" s="109" t="s">
        <v>265</v>
      </c>
      <c r="C20" s="41"/>
      <c r="D20" s="130"/>
      <c r="E20" s="41"/>
      <c r="F20" s="130"/>
      <c r="G20" s="320"/>
      <c r="H20" s="3"/>
      <c r="I20" s="3"/>
    </row>
    <row r="21" spans="1:9">
      <c r="A21" s="41"/>
      <c r="B21" s="39"/>
      <c r="C21" s="41"/>
      <c r="D21" s="130"/>
      <c r="E21" s="41"/>
      <c r="F21" s="130"/>
      <c r="G21" s="320"/>
      <c r="H21" s="3"/>
      <c r="I21" s="3"/>
    </row>
    <row r="22" spans="1:9">
      <c r="A22" s="41"/>
      <c r="B22" s="298" t="s">
        <v>266</v>
      </c>
      <c r="C22" s="348"/>
      <c r="D22" s="130"/>
      <c r="E22" s="345">
        <f>SUM(D22:D25)</f>
        <v>95496000</v>
      </c>
      <c r="F22" s="194">
        <f>+ROUND(E22,-3)</f>
        <v>95496000</v>
      </c>
      <c r="G22" s="201">
        <f>+G16+1</f>
        <v>104</v>
      </c>
      <c r="H22" s="3"/>
      <c r="I22" s="10"/>
    </row>
    <row r="23" spans="1:9">
      <c r="A23" s="41"/>
      <c r="B23" s="39"/>
      <c r="C23" s="41" t="str">
        <f>+'3. Inversiones'!B9</f>
        <v>Ecopetrol</v>
      </c>
      <c r="D23" s="194">
        <v>18310000</v>
      </c>
      <c r="E23" s="41"/>
      <c r="F23" s="194"/>
      <c r="G23" s="320"/>
      <c r="H23" s="3"/>
      <c r="I23" s="3"/>
    </row>
    <row r="24" spans="1:9">
      <c r="A24" s="41"/>
      <c r="B24" s="39"/>
      <c r="C24" s="41" t="str">
        <f>+'3. Inversiones'!B17</f>
        <v>García Hermanos S.A.S.</v>
      </c>
      <c r="D24" s="196">
        <v>77186000</v>
      </c>
      <c r="E24" s="41"/>
      <c r="F24" s="194"/>
      <c r="G24" s="320"/>
      <c r="H24" s="3"/>
      <c r="I24" s="3"/>
    </row>
    <row r="25" spans="1:9">
      <c r="A25" s="41"/>
      <c r="B25" s="39"/>
      <c r="C25" s="41"/>
      <c r="D25" s="130"/>
      <c r="E25" s="41"/>
      <c r="F25" s="130"/>
      <c r="G25" s="320"/>
      <c r="H25" s="3"/>
      <c r="I25" s="3"/>
    </row>
    <row r="26" spans="1:9">
      <c r="A26" s="41"/>
      <c r="B26" s="39" t="s">
        <v>160</v>
      </c>
      <c r="C26" s="41"/>
      <c r="D26" s="130"/>
      <c r="E26" s="345"/>
      <c r="F26" s="194">
        <f>+D23</f>
        <v>18310000</v>
      </c>
      <c r="G26" s="201">
        <f>+G22+1</f>
        <v>105</v>
      </c>
      <c r="H26" s="3"/>
      <c r="I26" s="3"/>
    </row>
    <row r="27" spans="1:9">
      <c r="A27" s="41"/>
      <c r="B27" s="39"/>
      <c r="C27" s="41"/>
      <c r="D27" s="130"/>
      <c r="E27" s="345"/>
      <c r="F27" s="194"/>
      <c r="G27" s="201"/>
      <c r="H27" s="3"/>
      <c r="I27" s="3"/>
    </row>
    <row r="28" spans="1:9" ht="13.5" thickBot="1">
      <c r="A28" s="41"/>
      <c r="B28" s="39" t="s">
        <v>267</v>
      </c>
      <c r="C28" s="41"/>
      <c r="D28" s="194"/>
      <c r="E28" s="216"/>
      <c r="F28" s="277">
        <f>+F22-F26</f>
        <v>77186000</v>
      </c>
      <c r="G28" s="201">
        <f>+G26+1</f>
        <v>106</v>
      </c>
      <c r="H28" s="3"/>
      <c r="I28" s="3"/>
    </row>
    <row r="29" spans="1:9" ht="13.5" thickTop="1">
      <c r="A29" s="41"/>
      <c r="B29" s="39"/>
      <c r="C29" s="41"/>
      <c r="D29" s="194"/>
      <c r="E29" s="216"/>
      <c r="F29" s="194"/>
      <c r="G29" s="201"/>
      <c r="H29" s="3"/>
      <c r="I29" s="3"/>
    </row>
    <row r="30" spans="1:9">
      <c r="A30" s="41"/>
      <c r="B30" s="39" t="s">
        <v>268</v>
      </c>
      <c r="C30" s="41"/>
      <c r="D30" s="194"/>
      <c r="E30" s="41"/>
      <c r="F30" s="349">
        <f>+ROUND(E31,-3)</f>
        <v>54500000</v>
      </c>
      <c r="G30" s="201">
        <f>+G28+1</f>
        <v>107</v>
      </c>
      <c r="H30" s="3"/>
      <c r="I30" s="3"/>
    </row>
    <row r="31" spans="1:9">
      <c r="A31" s="41"/>
      <c r="B31" s="39"/>
      <c r="C31" s="41" t="str">
        <f>+C23</f>
        <v>Ecopetrol</v>
      </c>
      <c r="D31" s="194"/>
      <c r="E31" s="216">
        <v>54500000</v>
      </c>
      <c r="F31" s="194"/>
      <c r="G31" s="201"/>
      <c r="H31" s="3"/>
      <c r="I31" s="10"/>
    </row>
    <row r="32" spans="1:9">
      <c r="A32" s="41"/>
      <c r="B32" s="39"/>
      <c r="C32" s="41"/>
      <c r="D32" s="194"/>
      <c r="E32" s="216"/>
      <c r="F32" s="194"/>
      <c r="G32" s="201"/>
      <c r="H32" s="3"/>
      <c r="I32" s="10"/>
    </row>
    <row r="33" spans="1:9">
      <c r="A33" s="41"/>
      <c r="B33" s="39" t="s">
        <v>269</v>
      </c>
      <c r="C33" s="41"/>
      <c r="D33" s="194"/>
      <c r="E33" s="216"/>
      <c r="F33" s="349">
        <v>0</v>
      </c>
      <c r="G33" s="201">
        <f>+G30+1</f>
        <v>108</v>
      </c>
      <c r="H33" s="3"/>
      <c r="I33" s="10"/>
    </row>
    <row r="34" spans="1:9">
      <c r="A34" s="41"/>
      <c r="B34" s="39"/>
      <c r="C34" s="41"/>
      <c r="D34" s="194"/>
      <c r="E34" s="216"/>
      <c r="F34" s="194"/>
      <c r="G34" s="201"/>
      <c r="H34" s="3"/>
      <c r="I34" s="10"/>
    </row>
    <row r="35" spans="1:9">
      <c r="A35" s="41"/>
      <c r="B35" s="39" t="s">
        <v>270</v>
      </c>
      <c r="C35" s="41"/>
      <c r="D35" s="194"/>
      <c r="E35" s="216"/>
      <c r="F35" s="194">
        <f>+ROUND(E36,-3)</f>
        <v>35787000</v>
      </c>
      <c r="G35" s="201">
        <f>+G33+1</f>
        <v>109</v>
      </c>
      <c r="H35" s="3"/>
      <c r="I35" s="3"/>
    </row>
    <row r="36" spans="1:9">
      <c r="A36" s="41"/>
      <c r="B36" s="39"/>
      <c r="C36" s="41" t="s">
        <v>271</v>
      </c>
      <c r="D36" s="194"/>
      <c r="E36" s="194">
        <v>35787000</v>
      </c>
      <c r="F36" s="194"/>
      <c r="G36" s="201"/>
      <c r="H36" s="3"/>
      <c r="I36" s="3"/>
    </row>
    <row r="37" spans="1:9">
      <c r="A37" s="41"/>
      <c r="B37" s="39"/>
      <c r="C37" s="41"/>
      <c r="D37" s="194"/>
      <c r="E37" s="216"/>
      <c r="F37" s="194"/>
      <c r="G37" s="201"/>
      <c r="H37" s="3"/>
      <c r="I37" s="10"/>
    </row>
    <row r="38" spans="1:9">
      <c r="A38" s="41"/>
      <c r="B38" s="298" t="s">
        <v>272</v>
      </c>
      <c r="C38" s="348"/>
      <c r="D38" s="194"/>
      <c r="E38" s="216"/>
      <c r="F38" s="194">
        <v>0</v>
      </c>
      <c r="G38" s="201">
        <f>+G35+1</f>
        <v>110</v>
      </c>
      <c r="H38" s="3"/>
      <c r="I38" s="10"/>
    </row>
    <row r="39" spans="1:9">
      <c r="A39" s="41"/>
      <c r="B39" s="39"/>
      <c r="C39" s="41"/>
      <c r="D39" s="194"/>
      <c r="E39" s="216"/>
      <c r="F39" s="194"/>
      <c r="G39" s="201"/>
      <c r="H39" s="3"/>
      <c r="I39" s="10"/>
    </row>
    <row r="40" spans="1:9" ht="13.5" thickBot="1">
      <c r="A40" s="41"/>
      <c r="B40" s="298" t="s">
        <v>273</v>
      </c>
      <c r="C40" s="348"/>
      <c r="D40" s="194"/>
      <c r="E40" s="216"/>
      <c r="F40" s="277">
        <f>+F30+F33+F35-F38</f>
        <v>90287000</v>
      </c>
      <c r="G40" s="278"/>
      <c r="H40" s="3"/>
      <c r="I40" s="10"/>
    </row>
    <row r="41" spans="1:9" ht="13.5" thickTop="1">
      <c r="A41" s="41"/>
      <c r="B41" s="276"/>
      <c r="C41" s="41"/>
      <c r="D41" s="194"/>
      <c r="E41" s="216"/>
      <c r="F41" s="194"/>
      <c r="G41" s="278"/>
      <c r="H41" s="3"/>
      <c r="I41" s="10"/>
    </row>
    <row r="42" spans="1:9">
      <c r="A42" s="41"/>
      <c r="B42" s="279" t="s">
        <v>274</v>
      </c>
      <c r="C42" s="280"/>
      <c r="D42" s="281"/>
      <c r="E42" s="282"/>
      <c r="F42" s="281">
        <f>+'7. Cédula Gral'!F53+F16+F30+F33-'10. Impto - Pago'!F19</f>
        <v>341583000</v>
      </c>
      <c r="G42" s="201">
        <f>+G38+1</f>
        <v>111</v>
      </c>
      <c r="H42" s="3"/>
      <c r="I42" s="10"/>
    </row>
    <row r="43" spans="1:9">
      <c r="A43" s="41"/>
      <c r="B43" s="223"/>
      <c r="C43" s="139"/>
      <c r="D43" s="196"/>
      <c r="E43" s="139"/>
      <c r="F43" s="141"/>
      <c r="G43" s="224"/>
      <c r="H43" s="3"/>
      <c r="I43" s="321"/>
    </row>
    <row r="44" spans="1:9">
      <c r="A44" s="41"/>
      <c r="B44" s="41"/>
      <c r="C44" s="41"/>
      <c r="D44" s="41"/>
      <c r="E44" s="41"/>
      <c r="F44" s="41"/>
      <c r="G44" s="301"/>
      <c r="H44" s="3"/>
      <c r="I44" s="321"/>
    </row>
    <row r="45" spans="1:9">
      <c r="A45" s="41"/>
      <c r="B45" s="41"/>
      <c r="C45" s="41"/>
      <c r="D45" s="41"/>
      <c r="E45" s="41"/>
      <c r="F45" s="41"/>
      <c r="G45" s="301"/>
      <c r="H45" s="3"/>
      <c r="I45" s="3"/>
    </row>
    <row r="46" spans="1:9">
      <c r="A46" s="41"/>
      <c r="B46" s="41"/>
      <c r="C46" s="41"/>
      <c r="D46" s="41"/>
      <c r="E46" s="41"/>
      <c r="F46" s="41"/>
      <c r="G46" s="301"/>
      <c r="H46" s="3"/>
      <c r="I46" s="3"/>
    </row>
    <row r="47" spans="1:9">
      <c r="A47" s="41"/>
      <c r="B47" s="15" t="str">
        <f>+'ANEXOS - TABLA'!B2</f>
        <v>NIT 79.378.917 - 5</v>
      </c>
      <c r="C47" s="41"/>
      <c r="D47" s="41"/>
      <c r="E47" s="41"/>
      <c r="F47" s="41"/>
      <c r="G47" s="301"/>
      <c r="H47" s="3"/>
      <c r="I47" s="3"/>
    </row>
    <row r="48" spans="1:9">
      <c r="A48" s="41"/>
      <c r="B48" s="15" t="str">
        <f>+'ANEXOS - TABLA'!B3</f>
        <v>DECLARACION DE RENTA AÑO GRAVABLE 2024</v>
      </c>
      <c r="C48" s="41"/>
      <c r="D48" s="41"/>
      <c r="E48" s="41"/>
      <c r="F48" s="16" t="s">
        <v>275</v>
      </c>
      <c r="G48" s="301"/>
      <c r="H48" s="3"/>
      <c r="I48" s="3"/>
    </row>
    <row r="49" spans="1:7">
      <c r="A49" s="41"/>
      <c r="B49" s="15" t="s">
        <v>276</v>
      </c>
      <c r="C49" s="41"/>
      <c r="D49" s="41"/>
      <c r="E49" s="41"/>
      <c r="F49" s="41"/>
      <c r="G49" s="301"/>
    </row>
    <row r="50" spans="1:7">
      <c r="A50" s="41"/>
      <c r="B50" s="15"/>
      <c r="C50" s="41"/>
      <c r="D50" s="41"/>
      <c r="E50" s="41"/>
      <c r="F50" s="41"/>
      <c r="G50" s="301"/>
    </row>
    <row r="51" spans="1:7">
      <c r="A51" s="41"/>
      <c r="B51" s="316"/>
      <c r="C51" s="123"/>
      <c r="D51" s="317"/>
      <c r="E51" s="123"/>
      <c r="F51" s="36" t="s">
        <v>41</v>
      </c>
      <c r="G51" s="318"/>
    </row>
    <row r="52" spans="1:7">
      <c r="A52" s="41"/>
      <c r="B52" s="319"/>
      <c r="C52" s="127"/>
      <c r="D52" s="37" t="s">
        <v>42</v>
      </c>
      <c r="E52" s="204" t="s">
        <v>43</v>
      </c>
      <c r="F52" s="37" t="s">
        <v>44</v>
      </c>
      <c r="G52" s="38" t="s">
        <v>45</v>
      </c>
    </row>
    <row r="53" spans="1:7">
      <c r="A53" s="41"/>
      <c r="B53" s="39"/>
      <c r="C53" s="41"/>
      <c r="D53" s="130"/>
      <c r="E53" s="41"/>
      <c r="F53" s="130"/>
      <c r="G53" s="320"/>
    </row>
    <row r="54" spans="1:7">
      <c r="A54" s="41"/>
      <c r="B54" s="39" t="s">
        <v>277</v>
      </c>
      <c r="C54" s="41"/>
      <c r="D54" s="194"/>
      <c r="E54" s="216">
        <f>SUM(D55:D60)</f>
        <v>937760000</v>
      </c>
      <c r="F54" s="194">
        <f>ROUND(E54,-3)</f>
        <v>937760000</v>
      </c>
      <c r="G54" s="320">
        <f>+G42+1</f>
        <v>112</v>
      </c>
    </row>
    <row r="55" spans="1:7">
      <c r="A55" s="41"/>
      <c r="B55" s="39"/>
      <c r="C55" s="41" t="s">
        <v>278</v>
      </c>
      <c r="D55" s="194">
        <f>+'3. Inversiones'!F37</f>
        <v>76500000</v>
      </c>
      <c r="E55" s="216"/>
      <c r="F55" s="194"/>
      <c r="G55" s="320"/>
    </row>
    <row r="56" spans="1:7">
      <c r="A56" s="41"/>
      <c r="B56" s="39"/>
      <c r="C56" s="41" t="s">
        <v>279</v>
      </c>
      <c r="D56" s="194">
        <f>+'4. Activos Fijos'!E37</f>
        <v>493000000</v>
      </c>
      <c r="E56" s="216"/>
      <c r="F56" s="194"/>
      <c r="G56" s="320"/>
    </row>
    <row r="57" spans="1:7">
      <c r="A57" s="41"/>
      <c r="B57" s="39"/>
      <c r="C57" s="41" t="s">
        <v>280</v>
      </c>
      <c r="D57" s="194">
        <f>+'4. Activos Fijos'!G14</f>
        <v>131860000</v>
      </c>
      <c r="E57" s="216"/>
      <c r="F57" s="194"/>
      <c r="G57" s="320"/>
    </row>
    <row r="58" spans="1:7">
      <c r="A58" s="41"/>
      <c r="B58" s="39"/>
      <c r="C58" s="41" t="s">
        <v>281</v>
      </c>
      <c r="D58" s="194">
        <f>+'4. Activos Fijos'!G23</f>
        <v>24800000</v>
      </c>
      <c r="E58" s="216"/>
      <c r="F58" s="194"/>
      <c r="G58" s="320"/>
    </row>
    <row r="59" spans="1:7">
      <c r="A59" s="41"/>
      <c r="B59" s="39"/>
      <c r="C59" s="41" t="s">
        <v>282</v>
      </c>
      <c r="D59" s="196">
        <v>211600000</v>
      </c>
      <c r="E59" s="216"/>
      <c r="F59" s="194"/>
      <c r="G59" s="320"/>
    </row>
    <row r="60" spans="1:7">
      <c r="A60" s="41"/>
      <c r="B60" s="39"/>
      <c r="C60" s="41"/>
      <c r="D60" s="194"/>
      <c r="E60" s="216"/>
      <c r="F60" s="194"/>
      <c r="G60" s="320"/>
    </row>
    <row r="61" spans="1:7">
      <c r="A61" s="41"/>
      <c r="B61" s="39" t="s">
        <v>283</v>
      </c>
      <c r="C61" s="41"/>
      <c r="D61" s="194"/>
      <c r="E61" s="216">
        <f>SUM(D62:D64)</f>
        <v>417238668.78980893</v>
      </c>
      <c r="F61" s="194">
        <f>ROUND(E61,-3)</f>
        <v>417239000</v>
      </c>
      <c r="G61" s="201">
        <f>+G54+1</f>
        <v>113</v>
      </c>
    </row>
    <row r="62" spans="1:7">
      <c r="A62" s="41"/>
      <c r="B62" s="39"/>
      <c r="C62" s="41" t="s">
        <v>284</v>
      </c>
      <c r="D62" s="194">
        <f>-'3. Inversiones'!F38</f>
        <v>60685668.789808922</v>
      </c>
      <c r="E62" s="216"/>
      <c r="F62" s="194"/>
      <c r="G62" s="320"/>
    </row>
    <row r="63" spans="1:7">
      <c r="A63" s="41"/>
      <c r="B63" s="39"/>
      <c r="C63" s="41" t="s">
        <v>285</v>
      </c>
      <c r="D63" s="196">
        <f>-'4. Activos Fijos'!E38</f>
        <v>356553000</v>
      </c>
      <c r="E63" s="216"/>
      <c r="F63" s="194"/>
      <c r="G63" s="320"/>
    </row>
    <row r="64" spans="1:7">
      <c r="A64" s="41"/>
      <c r="B64" s="39"/>
      <c r="C64" s="41"/>
      <c r="D64" s="194"/>
      <c r="E64" s="216"/>
      <c r="F64" s="194"/>
      <c r="G64" s="320"/>
    </row>
    <row r="65" spans="1:9">
      <c r="A65" s="41"/>
      <c r="B65" s="39" t="s">
        <v>286</v>
      </c>
      <c r="C65" s="41"/>
      <c r="D65" s="194"/>
      <c r="E65" s="216">
        <f>SUM(D66:D71)</f>
        <v>291144581.21019107</v>
      </c>
      <c r="F65" s="194">
        <f>ROUND(E65,-3)</f>
        <v>291145000</v>
      </c>
      <c r="G65" s="320">
        <f>+G61+1</f>
        <v>114</v>
      </c>
      <c r="H65" s="3"/>
      <c r="I65" s="3"/>
    </row>
    <row r="66" spans="1:9">
      <c r="A66" s="41"/>
      <c r="B66" s="39"/>
      <c r="C66" s="41" t="s">
        <v>287</v>
      </c>
      <c r="D66" s="194">
        <f>IF(+'3. Inversiones'!F39&gt;0,'3. Inversiones'!F39,0)</f>
        <v>15814331.210191078</v>
      </c>
      <c r="E66" s="216"/>
      <c r="F66" s="194"/>
      <c r="G66" s="320"/>
      <c r="H66" s="3"/>
      <c r="I66" s="321"/>
    </row>
    <row r="67" spans="1:9">
      <c r="A67" s="41"/>
      <c r="B67" s="39"/>
      <c r="C67" s="41" t="s">
        <v>280</v>
      </c>
      <c r="D67" s="194">
        <f>IF(((13000*20%)*'ANEXOS - TABLA'!C28)&lt;D57,(13000*20%)*'ANEXOS - TABLA'!C28,D57)</f>
        <v>122369000</v>
      </c>
      <c r="E67" s="216"/>
      <c r="F67" s="194"/>
      <c r="G67" s="320"/>
      <c r="H67" s="3"/>
      <c r="I67" s="321"/>
    </row>
    <row r="68" spans="1:9">
      <c r="A68" s="41"/>
      <c r="B68" s="39"/>
      <c r="C68" s="41" t="s">
        <v>288</v>
      </c>
      <c r="D68" s="194"/>
      <c r="E68" s="216"/>
      <c r="F68" s="194"/>
      <c r="G68" s="320"/>
      <c r="H68" s="3"/>
      <c r="I68" s="3"/>
    </row>
    <row r="69" spans="1:9">
      <c r="A69" s="41"/>
      <c r="B69" s="39"/>
      <c r="C69" s="41" t="s">
        <v>289</v>
      </c>
      <c r="D69" s="194">
        <f>IF((3250*'ANEXOS - TABLA'!C28)&lt;D58+D59,(3250*'ANEXOS - TABLA'!C28),D58+D59)</f>
        <v>152961250</v>
      </c>
      <c r="E69" s="216"/>
      <c r="F69" s="194"/>
      <c r="G69" s="320"/>
      <c r="H69" s="3"/>
      <c r="I69" s="3"/>
    </row>
    <row r="70" spans="1:9">
      <c r="A70" s="41"/>
      <c r="B70" s="39"/>
      <c r="C70" s="41" t="s">
        <v>290</v>
      </c>
      <c r="D70" s="196"/>
      <c r="E70" s="216"/>
      <c r="F70" s="196"/>
      <c r="G70" s="320"/>
      <c r="H70" s="3"/>
      <c r="I70" s="3"/>
    </row>
    <row r="71" spans="1:9">
      <c r="A71" s="41"/>
      <c r="B71" s="39"/>
      <c r="C71" s="41"/>
      <c r="D71" s="194"/>
      <c r="E71" s="216"/>
      <c r="F71" s="194"/>
      <c r="G71" s="320"/>
      <c r="H71" s="3"/>
      <c r="I71" s="3"/>
    </row>
    <row r="72" spans="1:9" ht="13.5" thickBot="1">
      <c r="A72" s="41"/>
      <c r="B72" s="42" t="s">
        <v>291</v>
      </c>
      <c r="C72" s="15"/>
      <c r="D72" s="43"/>
      <c r="E72" s="216"/>
      <c r="F72" s="46">
        <f>+F54-F61-F65</f>
        <v>229376000</v>
      </c>
      <c r="G72" s="320">
        <f>+G65+1</f>
        <v>115</v>
      </c>
      <c r="H72" s="3"/>
      <c r="I72" s="3"/>
    </row>
    <row r="73" spans="1:9" ht="13.5" thickTop="1">
      <c r="A73" s="41"/>
      <c r="B73" s="223"/>
      <c r="C73" s="139"/>
      <c r="D73" s="196"/>
      <c r="E73" s="338"/>
      <c r="F73" s="196"/>
      <c r="G73" s="224"/>
      <c r="H73" s="3"/>
      <c r="I73" s="3"/>
    </row>
    <row r="74" spans="1:9">
      <c r="A74" s="41"/>
      <c r="B74" s="41"/>
      <c r="C74" s="41"/>
      <c r="D74" s="41"/>
      <c r="E74" s="41"/>
      <c r="F74" s="41"/>
      <c r="G74" s="301"/>
      <c r="H74" s="3"/>
      <c r="I74" s="3"/>
    </row>
  </sheetData>
  <sheetProtection algorithmName="SHA-512" hashValue="HGtTQ0BSu0PVe2d9BE+fwCKuUtt0xzUQnf3I7PlsTcFHQO8s0T9J91lWX3V35+/eLqzp8TJ5yTx19L8YHAkT7w==" saltValue="qvleZGlgkQSPZ3O4NQPLSA==" spinCount="100000" sheet="1" objects="1" scenarios="1"/>
  <mergeCells count="3">
    <mergeCell ref="B22:C22"/>
    <mergeCell ref="B38:C38"/>
    <mergeCell ref="B40:C40"/>
  </mergeCells>
  <printOptions horizontalCentered="1" verticalCentered="1"/>
  <pageMargins left="0.59055118110236227" right="0.59055118110236227" top="0.59055118110236227" bottom="0.59055118110236227" header="0" footer="0"/>
  <pageSetup scale="80" orientation="portrait" horizontalDpi="4294967292" r:id="rId1"/>
  <headerFooter alignWithMargins="0"/>
  <ignoredErrors>
    <ignoredError sqref="B1:B4 E12:G17 B23:G23 B46:B49 D54:F58 G61:G72 B29:G30 C28:G28 B43:G43 C38:G38 B32:G33 B31:D31 F31:G31 C35:D35 F35:G35 E59:F59 D60:F75 B39:G39 F42:G42 G54 C40:G40 C22:G22 B25:G27 B24:C24 E24:G2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8"/>
  <sheetViews>
    <sheetView workbookViewId="0">
      <selection activeCell="F3" sqref="F3"/>
    </sheetView>
  </sheetViews>
  <sheetFormatPr defaultColWidth="11.42578125" defaultRowHeight="12.75"/>
  <cols>
    <col min="1" max="1" width="1.7109375" style="1" customWidth="1"/>
    <col min="2" max="2" width="3.7109375" style="1" customWidth="1"/>
    <col min="3" max="3" width="49.7109375" style="1" customWidth="1"/>
    <col min="4" max="5" width="12.42578125" style="1" customWidth="1"/>
    <col min="6" max="6" width="12.42578125" style="1" bestFit="1" customWidth="1"/>
    <col min="7" max="7" width="10" style="2" bestFit="1" customWidth="1"/>
    <col min="8" max="8" width="5.7109375" style="1" customWidth="1"/>
    <col min="9" max="16384" width="11.42578125" style="1"/>
  </cols>
  <sheetData>
    <row r="1" spans="1:10">
      <c r="A1" s="41"/>
      <c r="B1" s="15" t="str">
        <f>+'ANEXOS - TABLA'!B1</f>
        <v>JORGE ENRIQUE CUÉLLAR GARCÍA</v>
      </c>
      <c r="C1" s="41"/>
      <c r="D1" s="216"/>
      <c r="E1" s="216"/>
      <c r="F1" s="216"/>
      <c r="G1" s="324"/>
      <c r="H1" s="321"/>
      <c r="I1" s="3"/>
      <c r="J1" s="10"/>
    </row>
    <row r="2" spans="1:10">
      <c r="A2" s="41"/>
      <c r="B2" s="15" t="str">
        <f>+'ANEXOS - TABLA'!B2</f>
        <v>NIT 79.378.917 - 5</v>
      </c>
      <c r="C2" s="41"/>
      <c r="D2" s="216"/>
      <c r="E2" s="216"/>
      <c r="F2" s="216"/>
      <c r="G2" s="324"/>
      <c r="H2" s="321"/>
      <c r="I2" s="3"/>
      <c r="J2" s="10"/>
    </row>
    <row r="3" spans="1:10">
      <c r="A3" s="41"/>
      <c r="B3" s="15" t="str">
        <f>+'ANEXOS - TABLA'!B3</f>
        <v>DECLARACION DE RENTA AÑO GRAVABLE 2024</v>
      </c>
      <c r="C3" s="41"/>
      <c r="D3" s="216"/>
      <c r="E3" s="216"/>
      <c r="F3" s="16" t="s">
        <v>292</v>
      </c>
      <c r="G3" s="324"/>
      <c r="H3" s="321"/>
      <c r="I3" s="3"/>
      <c r="J3" s="10"/>
    </row>
    <row r="4" spans="1:10">
      <c r="A4" s="41"/>
      <c r="B4" s="15" t="s">
        <v>16</v>
      </c>
      <c r="C4" s="41"/>
      <c r="D4" s="216"/>
      <c r="E4" s="216"/>
      <c r="F4" s="216"/>
      <c r="G4" s="324"/>
      <c r="H4" s="321"/>
      <c r="I4" s="3"/>
      <c r="J4" s="10"/>
    </row>
    <row r="5" spans="1:10">
      <c r="A5" s="41"/>
      <c r="B5" s="41"/>
      <c r="C5" s="41"/>
      <c r="D5" s="216"/>
      <c r="E5" s="216"/>
      <c r="F5" s="216"/>
      <c r="G5" s="324"/>
      <c r="H5" s="321"/>
      <c r="I5" s="3"/>
      <c r="J5" s="10"/>
    </row>
    <row r="6" spans="1:10">
      <c r="A6" s="41"/>
      <c r="B6" s="316"/>
      <c r="C6" s="123"/>
      <c r="D6" s="317"/>
      <c r="E6" s="317"/>
      <c r="F6" s="36" t="s">
        <v>41</v>
      </c>
      <c r="G6" s="318"/>
      <c r="H6" s="321"/>
      <c r="I6" s="3"/>
      <c r="J6" s="10"/>
    </row>
    <row r="7" spans="1:10">
      <c r="A7" s="41"/>
      <c r="B7" s="319"/>
      <c r="C7" s="127"/>
      <c r="D7" s="37" t="s">
        <v>42</v>
      </c>
      <c r="E7" s="37" t="s">
        <v>43</v>
      </c>
      <c r="F7" s="37" t="s">
        <v>44</v>
      </c>
      <c r="G7" s="38" t="s">
        <v>45</v>
      </c>
      <c r="H7" s="321"/>
      <c r="I7" s="3"/>
      <c r="J7" s="10"/>
    </row>
    <row r="8" spans="1:10">
      <c r="A8" s="41"/>
      <c r="B8" s="339"/>
      <c r="C8" s="340"/>
      <c r="D8" s="350"/>
      <c r="E8" s="350"/>
      <c r="F8" s="350"/>
      <c r="G8" s="351"/>
      <c r="H8" s="321"/>
      <c r="I8" s="3"/>
      <c r="J8" s="10"/>
    </row>
    <row r="9" spans="1:10">
      <c r="A9" s="41"/>
      <c r="B9" s="42" t="s">
        <v>293</v>
      </c>
      <c r="C9" s="41"/>
      <c r="D9" s="194"/>
      <c r="E9" s="194"/>
      <c r="F9" s="194"/>
      <c r="G9" s="201"/>
      <c r="H9" s="321"/>
      <c r="I9" s="3"/>
      <c r="J9" s="10"/>
    </row>
    <row r="10" spans="1:10">
      <c r="A10" s="41"/>
      <c r="B10" s="39"/>
      <c r="C10" s="41"/>
      <c r="D10" s="194"/>
      <c r="E10" s="194"/>
      <c r="F10" s="194"/>
      <c r="G10" s="201"/>
      <c r="H10" s="321"/>
      <c r="I10" s="3"/>
      <c r="J10" s="10"/>
    </row>
    <row r="11" spans="1:10">
      <c r="A11" s="41"/>
      <c r="B11" s="39" t="s">
        <v>294</v>
      </c>
      <c r="C11" s="41"/>
      <c r="D11" s="194"/>
      <c r="E11" s="194">
        <f>+D15*'ANEXOS - TABLA'!C28</f>
        <v>86130665</v>
      </c>
      <c r="F11" s="194">
        <f>ROUND(E11,-3)</f>
        <v>86131000</v>
      </c>
      <c r="G11" s="200">
        <v>116</v>
      </c>
      <c r="H11" s="321"/>
      <c r="I11" s="3"/>
      <c r="J11" s="10"/>
    </row>
    <row r="12" spans="1:10">
      <c r="A12" s="41"/>
      <c r="B12" s="39"/>
      <c r="C12" s="41" t="s">
        <v>295</v>
      </c>
      <c r="D12" s="194">
        <f>+'8. Otras cédulas - 9. G.O.'!F42</f>
        <v>341583000</v>
      </c>
      <c r="E12" s="194"/>
      <c r="F12" s="194"/>
      <c r="G12" s="201"/>
      <c r="H12" s="321"/>
      <c r="I12" s="3"/>
      <c r="J12" s="10"/>
    </row>
    <row r="13" spans="1:10">
      <c r="A13" s="41"/>
      <c r="B13" s="39"/>
      <c r="C13" s="41" t="s">
        <v>296</v>
      </c>
      <c r="D13" s="352">
        <f>+D12/'ANEXOS - TABLA'!C28</f>
        <v>7257.6861786890468</v>
      </c>
      <c r="E13" s="194"/>
      <c r="F13" s="194"/>
      <c r="G13" s="201"/>
      <c r="H13" s="321"/>
      <c r="I13" s="321"/>
      <c r="J13" s="10"/>
    </row>
    <row r="14" spans="1:10">
      <c r="A14" s="41"/>
      <c r="B14" s="39"/>
      <c r="C14" s="41" t="s">
        <v>297</v>
      </c>
      <c r="D14" s="352">
        <f>+D13-'ANEXOS - TABLA'!C37</f>
        <v>3157.6861786890468</v>
      </c>
      <c r="E14" s="194"/>
      <c r="F14" s="194"/>
      <c r="G14" s="201"/>
      <c r="H14" s="321"/>
      <c r="I14" s="321"/>
      <c r="J14" s="10"/>
    </row>
    <row r="15" spans="1:10">
      <c r="A15" s="41"/>
      <c r="B15" s="39"/>
      <c r="C15" s="41" t="s">
        <v>298</v>
      </c>
      <c r="D15" s="352">
        <f>+D14*'ANEXOS - TABLA'!D38+788</f>
        <v>1830.0364389673855</v>
      </c>
      <c r="E15" s="194"/>
      <c r="F15" s="194"/>
      <c r="G15" s="201"/>
      <c r="H15" s="321"/>
      <c r="I15" s="321"/>
      <c r="J15" s="10"/>
    </row>
    <row r="16" spans="1:10">
      <c r="A16" s="41"/>
      <c r="B16" s="39"/>
      <c r="C16" s="41"/>
      <c r="D16" s="194"/>
      <c r="E16" s="194"/>
      <c r="F16" s="194"/>
      <c r="G16" s="200"/>
      <c r="H16" s="321"/>
      <c r="I16" s="3"/>
      <c r="J16" s="10"/>
    </row>
    <row r="17" spans="1:10">
      <c r="A17" s="41"/>
      <c r="B17" s="39" t="s">
        <v>299</v>
      </c>
      <c r="C17" s="41"/>
      <c r="D17" s="194"/>
      <c r="E17" s="194">
        <v>0</v>
      </c>
      <c r="F17" s="194">
        <f>ROUND(E17,-3)</f>
        <v>0</v>
      </c>
      <c r="G17" s="200">
        <f>+G11+1</f>
        <v>117</v>
      </c>
      <c r="H17" s="321"/>
      <c r="I17" s="3"/>
      <c r="J17" s="10"/>
    </row>
    <row r="18" spans="1:10">
      <c r="A18" s="41"/>
      <c r="B18" s="39"/>
      <c r="C18" s="41"/>
      <c r="D18" s="194"/>
      <c r="E18" s="194"/>
      <c r="F18" s="194"/>
      <c r="G18" s="200"/>
      <c r="H18" s="321"/>
      <c r="I18" s="3"/>
      <c r="J18" s="10"/>
    </row>
    <row r="19" spans="1:10" ht="25.5" customHeight="1">
      <c r="A19" s="41"/>
      <c r="B19" s="298" t="s">
        <v>300</v>
      </c>
      <c r="C19" s="348"/>
      <c r="D19" s="194"/>
      <c r="E19" s="194">
        <f>+D20*35%</f>
        <v>0</v>
      </c>
      <c r="F19" s="349">
        <f>ROUND(E19,-3)</f>
        <v>0</v>
      </c>
      <c r="G19" s="200">
        <f>+G17+1</f>
        <v>118</v>
      </c>
      <c r="H19" s="321"/>
      <c r="I19" s="3"/>
      <c r="J19" s="10"/>
    </row>
    <row r="20" spans="1:10">
      <c r="A20" s="41"/>
      <c r="B20" s="39"/>
      <c r="C20" s="41" t="s">
        <v>295</v>
      </c>
      <c r="D20" s="194">
        <f>+'8. Otras cédulas - 9. G.O.'!F33</f>
        <v>0</v>
      </c>
      <c r="E20" s="194"/>
      <c r="F20" s="194"/>
      <c r="G20" s="200"/>
      <c r="H20" s="321"/>
      <c r="I20" s="3"/>
      <c r="J20" s="10"/>
    </row>
    <row r="21" spans="1:10">
      <c r="A21" s="41"/>
      <c r="B21" s="39"/>
      <c r="C21" s="41"/>
      <c r="D21" s="194"/>
      <c r="E21" s="194"/>
      <c r="F21" s="194"/>
      <c r="G21" s="200"/>
      <c r="H21" s="321"/>
      <c r="I21" s="3"/>
      <c r="J21" s="10"/>
    </row>
    <row r="22" spans="1:10">
      <c r="A22" s="41"/>
      <c r="B22" s="39" t="s">
        <v>301</v>
      </c>
      <c r="C22" s="41"/>
      <c r="D22" s="194"/>
      <c r="E22" s="194">
        <f>+D26*'ANEXOS - TABLA'!C28</f>
        <v>4918178.5000000009</v>
      </c>
      <c r="F22" s="194">
        <f>ROUND(E22,-3)</f>
        <v>4918000</v>
      </c>
      <c r="G22" s="200">
        <f>+G19+1</f>
        <v>119</v>
      </c>
      <c r="H22" s="321"/>
      <c r="I22" s="3"/>
      <c r="J22" s="10"/>
    </row>
    <row r="23" spans="1:10">
      <c r="A23" s="41"/>
      <c r="B23" s="39"/>
      <c r="C23" s="41" t="s">
        <v>295</v>
      </c>
      <c r="D23" s="194">
        <f>+'8. Otras cédulas - 9. G.O.'!F28</f>
        <v>77186000</v>
      </c>
      <c r="E23" s="194"/>
      <c r="F23" s="194"/>
      <c r="G23" s="200"/>
      <c r="H23" s="321"/>
      <c r="I23" s="3"/>
      <c r="J23" s="10"/>
    </row>
    <row r="24" spans="1:10">
      <c r="A24" s="41"/>
      <c r="B24" s="39"/>
      <c r="C24" s="41" t="s">
        <v>296</v>
      </c>
      <c r="D24" s="352">
        <f>+D23/'ANEXOS - TABLA'!C28</f>
        <v>1639.987251673218</v>
      </c>
      <c r="E24" s="194"/>
      <c r="F24" s="194"/>
      <c r="G24" s="200"/>
      <c r="H24" s="321"/>
      <c r="I24" s="3"/>
      <c r="J24" s="10"/>
    </row>
    <row r="25" spans="1:10">
      <c r="A25" s="41"/>
      <c r="B25" s="39"/>
      <c r="C25" s="41" t="s">
        <v>302</v>
      </c>
      <c r="D25" s="352">
        <f>+D24-'ANEXOS - TABLA'!C35</f>
        <v>549.987251673218</v>
      </c>
      <c r="E25" s="194"/>
      <c r="F25" s="194"/>
      <c r="G25" s="200"/>
      <c r="H25" s="321"/>
      <c r="I25" s="353"/>
      <c r="J25" s="10"/>
    </row>
    <row r="26" spans="1:10">
      <c r="A26" s="41"/>
      <c r="B26" s="39"/>
      <c r="C26" s="41" t="s">
        <v>298</v>
      </c>
      <c r="D26" s="352">
        <f>+D25*'ANEXOS - TABLA'!D36</f>
        <v>104.49757781791142</v>
      </c>
      <c r="E26" s="194"/>
      <c r="F26" s="194"/>
      <c r="G26" s="200"/>
      <c r="H26" s="321"/>
      <c r="I26" s="3"/>
      <c r="J26" s="10"/>
    </row>
    <row r="27" spans="1:10">
      <c r="A27" s="41"/>
      <c r="B27" s="39"/>
      <c r="C27" s="41"/>
      <c r="D27" s="194"/>
      <c r="E27" s="194"/>
      <c r="F27" s="194"/>
      <c r="G27" s="200"/>
      <c r="H27" s="321"/>
      <c r="I27" s="3"/>
      <c r="J27" s="10"/>
    </row>
    <row r="28" spans="1:10">
      <c r="A28" s="41"/>
      <c r="B28" s="39" t="s">
        <v>303</v>
      </c>
      <c r="C28" s="41"/>
      <c r="D28" s="194"/>
      <c r="E28" s="194">
        <f>+D29*35%</f>
        <v>12525450</v>
      </c>
      <c r="F28" s="194">
        <f>+ROUND(E28,-3)</f>
        <v>12525000</v>
      </c>
      <c r="G28" s="200">
        <f>+G22+1</f>
        <v>120</v>
      </c>
      <c r="H28" s="321"/>
      <c r="I28" s="3"/>
      <c r="J28" s="10"/>
    </row>
    <row r="29" spans="1:10">
      <c r="A29" s="41"/>
      <c r="B29" s="39"/>
      <c r="C29" s="41" t="s">
        <v>295</v>
      </c>
      <c r="D29" s="194">
        <f>+'8. Otras cédulas - 9. G.O.'!F35-'8. Otras cédulas - 9. G.O.'!F38</f>
        <v>35787000</v>
      </c>
      <c r="E29" s="194"/>
      <c r="F29" s="196"/>
      <c r="G29" s="200"/>
      <c r="H29" s="321"/>
      <c r="I29" s="3"/>
      <c r="J29" s="10"/>
    </row>
    <row r="30" spans="1:10">
      <c r="A30" s="41"/>
      <c r="B30" s="39"/>
      <c r="C30" s="41"/>
      <c r="D30" s="194"/>
      <c r="E30" s="194"/>
      <c r="F30" s="194"/>
      <c r="G30" s="200"/>
      <c r="H30" s="321"/>
      <c r="I30" s="3"/>
      <c r="J30" s="10"/>
    </row>
    <row r="31" spans="1:10">
      <c r="A31" s="41"/>
      <c r="B31" s="42" t="s">
        <v>304</v>
      </c>
      <c r="C31" s="15"/>
      <c r="D31" s="43"/>
      <c r="E31" s="43"/>
      <c r="F31" s="217">
        <f>SUM(F11:F30)</f>
        <v>103574000</v>
      </c>
      <c r="G31" s="200">
        <f>+G28+1</f>
        <v>121</v>
      </c>
      <c r="H31" s="321"/>
      <c r="I31" s="3"/>
      <c r="J31" s="10"/>
    </row>
    <row r="32" spans="1:10">
      <c r="A32" s="41"/>
      <c r="B32" s="39"/>
      <c r="C32" s="41"/>
      <c r="D32" s="194"/>
      <c r="E32" s="194"/>
      <c r="F32" s="194"/>
      <c r="G32" s="200"/>
      <c r="H32" s="321"/>
      <c r="I32" s="3"/>
      <c r="J32" s="10"/>
    </row>
    <row r="33" spans="1:10">
      <c r="A33" s="41"/>
      <c r="B33" s="42" t="s">
        <v>305</v>
      </c>
      <c r="C33" s="41"/>
      <c r="D33" s="194"/>
      <c r="E33" s="194"/>
      <c r="F33" s="194"/>
      <c r="G33" s="200"/>
      <c r="H33" s="321"/>
      <c r="I33" s="3"/>
      <c r="J33" s="10"/>
    </row>
    <row r="34" spans="1:10">
      <c r="A34" s="41"/>
      <c r="B34" s="39"/>
      <c r="C34" s="41" t="s">
        <v>306</v>
      </c>
      <c r="D34" s="194">
        <f>('6. Cap y No Lab'!D40+'8. Otras cédulas - 9. G.O.'!E36)*10%</f>
        <v>6549800</v>
      </c>
      <c r="E34" s="194">
        <f>IF(D34&lt;E28,D34,E28)</f>
        <v>6549800</v>
      </c>
      <c r="F34" s="194">
        <f>ROUND(E34,-3)</f>
        <v>6550000</v>
      </c>
      <c r="G34" s="200">
        <f>+G31+1</f>
        <v>122</v>
      </c>
      <c r="H34" s="321"/>
      <c r="I34" s="321"/>
      <c r="J34" s="10"/>
    </row>
    <row r="35" spans="1:10">
      <c r="A35" s="41"/>
      <c r="B35" s="39"/>
      <c r="C35" s="41"/>
      <c r="D35" s="194"/>
      <c r="E35" s="194"/>
      <c r="F35" s="194"/>
      <c r="G35" s="200"/>
      <c r="H35" s="321"/>
      <c r="I35" s="3"/>
      <c r="J35" s="10"/>
    </row>
    <row r="36" spans="1:10">
      <c r="A36" s="41"/>
      <c r="B36" s="39"/>
      <c r="C36" s="41" t="s">
        <v>307</v>
      </c>
      <c r="D36" s="194"/>
      <c r="E36" s="194">
        <f>20000000*25%</f>
        <v>5000000</v>
      </c>
      <c r="F36" s="194">
        <f>ROUND(E36,-3)</f>
        <v>5000000</v>
      </c>
      <c r="G36" s="201">
        <f>+G34+1</f>
        <v>123</v>
      </c>
      <c r="H36" s="321"/>
      <c r="I36" s="3"/>
      <c r="J36" s="10"/>
    </row>
    <row r="37" spans="1:10">
      <c r="A37" s="41"/>
      <c r="B37" s="39"/>
      <c r="C37" s="41"/>
      <c r="D37" s="194"/>
      <c r="E37" s="194"/>
      <c r="F37" s="194"/>
      <c r="G37" s="201"/>
      <c r="H37" s="321"/>
      <c r="I37" s="3"/>
      <c r="J37" s="10"/>
    </row>
    <row r="38" spans="1:10">
      <c r="A38" s="41"/>
      <c r="B38" s="39"/>
      <c r="C38" s="41" t="s">
        <v>308</v>
      </c>
      <c r="D38" s="194"/>
      <c r="E38" s="194">
        <f>+(D40-1090)*19%*'ANEXOS - TABLA'!C28</f>
        <v>607838.50000000012</v>
      </c>
      <c r="F38" s="194">
        <f>ROUND(E38,-3)</f>
        <v>608000</v>
      </c>
      <c r="G38" s="201">
        <f>+G36+1</f>
        <v>124</v>
      </c>
      <c r="H38" s="321"/>
      <c r="I38" s="3"/>
      <c r="J38" s="10"/>
    </row>
    <row r="39" spans="1:10">
      <c r="A39" s="41"/>
      <c r="B39" s="39"/>
      <c r="C39" s="41" t="s">
        <v>309</v>
      </c>
      <c r="D39" s="194">
        <f>+'8. Otras cédulas - 9. G.O.'!F30+'8. Otras cédulas - 9. G.O.'!F33-F19</f>
        <v>54500000</v>
      </c>
      <c r="E39" s="43"/>
      <c r="F39" s="194"/>
      <c r="G39" s="201"/>
      <c r="H39" s="321"/>
      <c r="I39" s="3"/>
      <c r="J39" s="10"/>
    </row>
    <row r="40" spans="1:10">
      <c r="A40" s="41"/>
      <c r="B40" s="39"/>
      <c r="C40" s="41" t="s">
        <v>310</v>
      </c>
      <c r="D40" s="352">
        <f>+D39/'ANEXOS - TABLA'!C28</f>
        <v>1157.9730160416445</v>
      </c>
      <c r="E40" s="43"/>
      <c r="F40" s="194"/>
      <c r="G40" s="201"/>
      <c r="H40" s="321"/>
      <c r="I40" s="3"/>
      <c r="J40" s="10"/>
    </row>
    <row r="41" spans="1:10">
      <c r="A41" s="41"/>
      <c r="B41" s="39"/>
      <c r="C41" s="41"/>
      <c r="D41" s="194"/>
      <c r="E41" s="43"/>
      <c r="F41" s="194"/>
      <c r="G41" s="201"/>
      <c r="H41" s="321"/>
      <c r="I41" s="3"/>
      <c r="J41" s="10"/>
    </row>
    <row r="42" spans="1:10">
      <c r="A42" s="41"/>
      <c r="B42" s="42" t="s">
        <v>311</v>
      </c>
      <c r="C42" s="15"/>
      <c r="D42" s="43"/>
      <c r="E42" s="43"/>
      <c r="F42" s="45">
        <f>SUM(F34:F41)</f>
        <v>12158000</v>
      </c>
      <c r="G42" s="201">
        <f>+G38+1</f>
        <v>125</v>
      </c>
      <c r="H42" s="321"/>
      <c r="I42" s="3"/>
      <c r="J42" s="10"/>
    </row>
    <row r="43" spans="1:10">
      <c r="A43" s="41"/>
      <c r="B43" s="39"/>
      <c r="C43" s="41"/>
      <c r="D43" s="194"/>
      <c r="E43" s="194"/>
      <c r="F43" s="194"/>
      <c r="G43" s="201"/>
      <c r="H43" s="321"/>
      <c r="I43" s="3"/>
      <c r="J43" s="10"/>
    </row>
    <row r="44" spans="1:10">
      <c r="A44" s="41"/>
      <c r="B44" s="42" t="s">
        <v>312</v>
      </c>
      <c r="C44" s="15"/>
      <c r="D44" s="43"/>
      <c r="E44" s="43"/>
      <c r="F44" s="43">
        <f>+F31-F42</f>
        <v>91416000</v>
      </c>
      <c r="G44" s="201">
        <f>+G42+1</f>
        <v>126</v>
      </c>
      <c r="H44" s="321"/>
      <c r="I44" s="3"/>
      <c r="J44" s="10"/>
    </row>
    <row r="45" spans="1:10">
      <c r="A45" s="41"/>
      <c r="B45" s="39"/>
      <c r="C45" s="41"/>
      <c r="D45" s="194"/>
      <c r="E45" s="194"/>
      <c r="F45" s="194"/>
      <c r="G45" s="320"/>
      <c r="H45" s="3"/>
      <c r="I45" s="3"/>
      <c r="J45" s="10"/>
    </row>
    <row r="46" spans="1:10">
      <c r="A46" s="41"/>
      <c r="B46" s="39" t="s">
        <v>313</v>
      </c>
      <c r="C46" s="41"/>
      <c r="D46" s="194"/>
      <c r="E46" s="194">
        <f>+D48</f>
        <v>34406400</v>
      </c>
      <c r="F46" s="194">
        <f>ROUND(E46,-3)</f>
        <v>34406000</v>
      </c>
      <c r="G46" s="201">
        <f>+G44+1</f>
        <v>127</v>
      </c>
      <c r="H46" s="3"/>
      <c r="I46" s="3"/>
      <c r="J46" s="10"/>
    </row>
    <row r="47" spans="1:10">
      <c r="A47" s="41"/>
      <c r="B47" s="39"/>
      <c r="C47" s="41" t="s">
        <v>314</v>
      </c>
      <c r="D47" s="194">
        <f>+'8. Otras cédulas - 9. G.O.'!F72</f>
        <v>229376000</v>
      </c>
      <c r="E47" s="194"/>
      <c r="F47" s="194"/>
      <c r="G47" s="320"/>
      <c r="H47" s="3"/>
      <c r="I47" s="3"/>
      <c r="J47" s="3"/>
    </row>
    <row r="48" spans="1:10">
      <c r="A48" s="41"/>
      <c r="B48" s="39"/>
      <c r="C48" s="41" t="s">
        <v>315</v>
      </c>
      <c r="D48" s="354">
        <f>+D47*15%</f>
        <v>34406400</v>
      </c>
      <c r="E48" s="194"/>
      <c r="F48" s="130"/>
      <c r="G48" s="320"/>
      <c r="H48" s="3"/>
      <c r="I48" s="3"/>
      <c r="J48" s="3"/>
    </row>
    <row r="49" spans="1:9">
      <c r="A49" s="41"/>
      <c r="B49" s="39"/>
      <c r="C49" s="41"/>
      <c r="D49" s="194"/>
      <c r="E49" s="194"/>
      <c r="F49" s="130"/>
      <c r="G49" s="320"/>
      <c r="H49" s="3"/>
      <c r="I49" s="3"/>
    </row>
    <row r="50" spans="1:9">
      <c r="A50" s="41"/>
      <c r="B50" s="39" t="s">
        <v>316</v>
      </c>
      <c r="C50" s="41"/>
      <c r="D50" s="194"/>
      <c r="E50" s="194"/>
      <c r="F50" s="194">
        <v>0</v>
      </c>
      <c r="G50" s="201">
        <f>+G46+1</f>
        <v>128</v>
      </c>
      <c r="H50" s="3"/>
      <c r="I50" s="3"/>
    </row>
    <row r="51" spans="1:9">
      <c r="A51" s="41"/>
      <c r="B51" s="39"/>
      <c r="C51" s="41"/>
      <c r="D51" s="194"/>
      <c r="E51" s="194"/>
      <c r="F51" s="130"/>
      <c r="G51" s="320"/>
      <c r="H51" s="3"/>
      <c r="I51" s="3"/>
    </row>
    <row r="52" spans="1:9">
      <c r="A52" s="41"/>
      <c r="B52" s="42" t="s">
        <v>317</v>
      </c>
      <c r="C52" s="15"/>
      <c r="D52" s="43"/>
      <c r="E52" s="43"/>
      <c r="F52" s="45">
        <f>+F44+F46-F50</f>
        <v>125822000</v>
      </c>
      <c r="G52" s="201">
        <f>+G50+1</f>
        <v>129</v>
      </c>
      <c r="H52" s="321"/>
      <c r="I52" s="321"/>
    </row>
    <row r="53" spans="1:9">
      <c r="A53" s="41"/>
      <c r="B53" s="39"/>
      <c r="C53" s="41"/>
      <c r="D53" s="194"/>
      <c r="E53" s="194"/>
      <c r="F53" s="194"/>
      <c r="G53" s="201"/>
      <c r="H53" s="321"/>
      <c r="I53" s="321"/>
    </row>
    <row r="54" spans="1:9">
      <c r="A54" s="41"/>
      <c r="B54" s="39" t="s">
        <v>318</v>
      </c>
      <c r="C54" s="41"/>
      <c r="D54" s="194"/>
      <c r="E54" s="194">
        <v>7800000</v>
      </c>
      <c r="F54" s="194">
        <f>ROUND(E54,-3)</f>
        <v>7800000</v>
      </c>
      <c r="G54" s="201">
        <f>+G52+1</f>
        <v>130</v>
      </c>
      <c r="H54" s="321"/>
      <c r="I54" s="321"/>
    </row>
    <row r="55" spans="1:9">
      <c r="A55" s="41"/>
      <c r="B55" s="39" t="s">
        <v>319</v>
      </c>
      <c r="C55" s="41"/>
      <c r="D55" s="194"/>
      <c r="E55" s="194">
        <v>0</v>
      </c>
      <c r="F55" s="194">
        <f>ROUND(E55,-3)</f>
        <v>0</v>
      </c>
      <c r="G55" s="201">
        <f>+G54+1</f>
        <v>131</v>
      </c>
      <c r="H55" s="321"/>
      <c r="I55" s="321"/>
    </row>
    <row r="56" spans="1:9">
      <c r="A56" s="41"/>
      <c r="B56" s="39"/>
      <c r="C56" s="41"/>
      <c r="D56" s="194"/>
      <c r="E56" s="194"/>
      <c r="F56" s="194"/>
      <c r="G56" s="201"/>
      <c r="H56" s="321"/>
      <c r="I56" s="321"/>
    </row>
    <row r="57" spans="1:9">
      <c r="A57" s="41"/>
      <c r="B57" s="39" t="s">
        <v>320</v>
      </c>
      <c r="C57" s="41"/>
      <c r="D57" s="194"/>
      <c r="E57" s="194">
        <f>SUM(D58:D65)</f>
        <v>53046050</v>
      </c>
      <c r="F57" s="194">
        <f>ROUND(E57,-3)</f>
        <v>53046000</v>
      </c>
      <c r="G57" s="201">
        <f>+G55+1</f>
        <v>132</v>
      </c>
      <c r="H57" s="321"/>
      <c r="I57" s="321"/>
    </row>
    <row r="58" spans="1:9">
      <c r="A58" s="41"/>
      <c r="B58" s="39"/>
      <c r="C58" s="41" t="s">
        <v>321</v>
      </c>
      <c r="D58" s="194">
        <f>'8. Otras cédulas - 9. G.O.'!D56*2.5%</f>
        <v>12325000</v>
      </c>
      <c r="E58" s="194"/>
      <c r="F58" s="194"/>
      <c r="G58" s="201"/>
      <c r="H58" s="3"/>
      <c r="I58" s="3"/>
    </row>
    <row r="59" spans="1:9">
      <c r="A59" s="41"/>
      <c r="B59" s="39"/>
      <c r="C59" s="41" t="s">
        <v>322</v>
      </c>
      <c r="D59" s="194">
        <f>+'4. Activos Fijos'!E43*2.5%</f>
        <v>292500</v>
      </c>
      <c r="E59" s="194"/>
      <c r="F59" s="194"/>
      <c r="G59" s="201"/>
      <c r="H59" s="3"/>
      <c r="I59" s="3"/>
    </row>
    <row r="60" spans="1:9">
      <c r="A60" s="41"/>
      <c r="B60" s="39"/>
      <c r="C60" s="41" t="s">
        <v>323</v>
      </c>
      <c r="D60" s="194">
        <v>13378000</v>
      </c>
      <c r="E60" s="194"/>
      <c r="F60" s="194"/>
      <c r="G60" s="201"/>
      <c r="H60" s="3"/>
      <c r="I60" s="3"/>
    </row>
    <row r="61" spans="1:9">
      <c r="A61" s="41"/>
      <c r="B61" s="39"/>
      <c r="C61" s="41" t="s">
        <v>324</v>
      </c>
      <c r="D61" s="194">
        <f>ROUND('5. Trabajo'!H16*55%*10%,-3)</f>
        <v>8487000</v>
      </c>
      <c r="E61" s="194"/>
      <c r="F61" s="194"/>
      <c r="G61" s="201"/>
      <c r="H61" s="3"/>
      <c r="I61" s="3"/>
    </row>
    <row r="62" spans="1:9">
      <c r="A62" s="41"/>
      <c r="B62" s="39"/>
      <c r="C62" s="41" t="s">
        <v>325</v>
      </c>
      <c r="D62" s="194">
        <f>+'6. Cap y No Lab'!D11*7%</f>
        <v>2646350.0000000005</v>
      </c>
      <c r="E62" s="194"/>
      <c r="F62" s="194"/>
      <c r="G62" s="201"/>
      <c r="H62" s="3"/>
      <c r="I62" s="3"/>
    </row>
    <row r="63" spans="1:9">
      <c r="A63" s="41"/>
      <c r="B63" s="39"/>
      <c r="C63" s="41" t="s">
        <v>326</v>
      </c>
      <c r="D63" s="194">
        <v>480000</v>
      </c>
      <c r="E63" s="194"/>
      <c r="F63" s="194"/>
      <c r="G63" s="201"/>
      <c r="H63" s="3"/>
      <c r="I63" s="3"/>
    </row>
    <row r="64" spans="1:9">
      <c r="A64" s="41"/>
      <c r="B64" s="39"/>
      <c r="C64" s="41" t="s">
        <v>327</v>
      </c>
      <c r="D64" s="196">
        <f>+'8. Otras cédulas - 9. G.O.'!D24*20%</f>
        <v>15437200</v>
      </c>
      <c r="E64" s="194"/>
      <c r="F64" s="194"/>
      <c r="G64" s="201"/>
      <c r="H64" s="3"/>
      <c r="I64" s="3"/>
    </row>
    <row r="65" spans="1:9">
      <c r="A65" s="41"/>
      <c r="B65" s="39"/>
      <c r="C65" s="41"/>
      <c r="D65" s="194"/>
      <c r="E65" s="194"/>
      <c r="F65" s="194"/>
      <c r="G65" s="201"/>
      <c r="H65" s="3"/>
      <c r="I65" s="3"/>
    </row>
    <row r="66" spans="1:9">
      <c r="A66" s="41"/>
      <c r="B66" s="39" t="s">
        <v>328</v>
      </c>
      <c r="C66" s="41"/>
      <c r="D66" s="194"/>
      <c r="E66" s="194">
        <f>+'11. Anticipo - 12. Act Ext'!E18</f>
        <v>108750</v>
      </c>
      <c r="F66" s="196">
        <f>ROUND(E66,-3)</f>
        <v>109000</v>
      </c>
      <c r="G66" s="201">
        <f>+G57+1</f>
        <v>133</v>
      </c>
      <c r="H66" s="3"/>
      <c r="I66" s="3"/>
    </row>
    <row r="67" spans="1:9">
      <c r="A67" s="41"/>
      <c r="B67" s="39"/>
      <c r="C67" s="41"/>
      <c r="D67" s="194"/>
      <c r="E67" s="194"/>
      <c r="F67" s="194"/>
      <c r="G67" s="201"/>
      <c r="H67" s="3"/>
      <c r="I67" s="3"/>
    </row>
    <row r="68" spans="1:9">
      <c r="A68" s="41"/>
      <c r="B68" s="42" t="s">
        <v>329</v>
      </c>
      <c r="C68" s="15"/>
      <c r="D68" s="190"/>
      <c r="E68" s="190"/>
      <c r="F68" s="43">
        <f>IF(+F52-F54-F55-F57+F66&gt;0,F52-F54-F55-F57+F66,0)</f>
        <v>65085000</v>
      </c>
      <c r="G68" s="201">
        <f>+G66+1</f>
        <v>134</v>
      </c>
      <c r="H68" s="3"/>
      <c r="I68" s="3"/>
    </row>
    <row r="69" spans="1:9">
      <c r="A69" s="41"/>
      <c r="B69" s="39"/>
      <c r="C69" s="41"/>
      <c r="D69" s="130"/>
      <c r="E69" s="130"/>
      <c r="F69" s="194"/>
      <c r="G69" s="320"/>
      <c r="H69" s="3"/>
      <c r="I69" s="3"/>
    </row>
    <row r="70" spans="1:9">
      <c r="A70" s="41"/>
      <c r="B70" s="39" t="s">
        <v>330</v>
      </c>
      <c r="C70" s="41"/>
      <c r="D70" s="130"/>
      <c r="E70" s="130"/>
      <c r="F70" s="196">
        <v>0</v>
      </c>
      <c r="G70" s="201">
        <f>+G68+1</f>
        <v>135</v>
      </c>
      <c r="H70" s="3"/>
      <c r="I70" s="3"/>
    </row>
    <row r="71" spans="1:9">
      <c r="A71" s="41"/>
      <c r="B71" s="39"/>
      <c r="C71" s="41"/>
      <c r="D71" s="130"/>
      <c r="E71" s="130"/>
      <c r="F71" s="194"/>
      <c r="G71" s="320"/>
      <c r="H71" s="3"/>
      <c r="I71" s="3"/>
    </row>
    <row r="72" spans="1:9" ht="13.5" thickBot="1">
      <c r="A72" s="41"/>
      <c r="B72" s="42" t="s">
        <v>331</v>
      </c>
      <c r="C72" s="15"/>
      <c r="D72" s="190"/>
      <c r="E72" s="190"/>
      <c r="F72" s="46">
        <f>SUM(F68:F71)</f>
        <v>65085000</v>
      </c>
      <c r="G72" s="201">
        <f>+G70+1</f>
        <v>136</v>
      </c>
      <c r="H72" s="3"/>
      <c r="I72" s="321"/>
    </row>
    <row r="73" spans="1:9" ht="13.5" thickTop="1">
      <c r="A73" s="41"/>
      <c r="B73" s="42"/>
      <c r="C73" s="15"/>
      <c r="D73" s="190"/>
      <c r="E73" s="190"/>
      <c r="F73" s="43"/>
      <c r="G73" s="320"/>
      <c r="H73" s="3"/>
      <c r="I73" s="3"/>
    </row>
    <row r="74" spans="1:9" ht="13.5" thickBot="1">
      <c r="A74" s="41"/>
      <c r="B74" s="42" t="s">
        <v>332</v>
      </c>
      <c r="C74" s="15"/>
      <c r="D74" s="190"/>
      <c r="E74" s="190"/>
      <c r="F74" s="46">
        <f>IF(F72&gt;0,0,F54+F55+F57-F52-F66-F70)</f>
        <v>0</v>
      </c>
      <c r="G74" s="201">
        <f>+G72+1</f>
        <v>137</v>
      </c>
      <c r="H74" s="3"/>
      <c r="I74" s="3"/>
    </row>
    <row r="75" spans="1:9" ht="13.5" thickTop="1">
      <c r="A75" s="41"/>
      <c r="B75" s="39"/>
      <c r="C75" s="41"/>
      <c r="D75" s="130"/>
      <c r="E75" s="130"/>
      <c r="F75" s="194"/>
      <c r="G75" s="201"/>
      <c r="H75" s="3"/>
      <c r="I75" s="3"/>
    </row>
    <row r="76" spans="1:9">
      <c r="A76" s="41"/>
      <c r="B76" s="218" t="s">
        <v>333</v>
      </c>
      <c r="C76" s="219"/>
      <c r="D76" s="220"/>
      <c r="E76" s="220"/>
      <c r="F76" s="193">
        <v>2</v>
      </c>
      <c r="G76" s="222">
        <f>+G74+1</f>
        <v>138</v>
      </c>
      <c r="H76" s="3"/>
      <c r="I76" s="3"/>
    </row>
    <row r="77" spans="1:9">
      <c r="A77" s="41"/>
      <c r="B77" s="218" t="s">
        <v>334</v>
      </c>
      <c r="C77" s="219"/>
      <c r="D77" s="220"/>
      <c r="E77" s="220"/>
      <c r="F77" s="221">
        <f>ROUND(72*F76*'ANEXOS - TABLA'!C28,-3)</f>
        <v>6777000</v>
      </c>
      <c r="G77" s="222">
        <f>+G76+1</f>
        <v>139</v>
      </c>
      <c r="H77" s="3"/>
      <c r="I77" s="3"/>
    </row>
    <row r="78" spans="1:9">
      <c r="A78" s="41"/>
      <c r="B78" s="218" t="s">
        <v>335</v>
      </c>
      <c r="C78" s="219"/>
      <c r="D78" s="220"/>
      <c r="E78" s="220"/>
      <c r="F78" s="221"/>
      <c r="G78" s="222">
        <f>+G77+1</f>
        <v>140</v>
      </c>
      <c r="H78" s="3"/>
      <c r="I78" s="3"/>
    </row>
    <row r="79" spans="1:9">
      <c r="A79" s="41"/>
      <c r="B79" s="218" t="s">
        <v>336</v>
      </c>
      <c r="C79" s="219"/>
      <c r="D79" s="220"/>
      <c r="E79" s="220"/>
      <c r="F79" s="221">
        <v>0</v>
      </c>
      <c r="G79" s="222">
        <f>+G78+1</f>
        <v>141</v>
      </c>
      <c r="H79" s="3"/>
      <c r="I79" s="3"/>
    </row>
    <row r="80" spans="1:9">
      <c r="A80" s="41"/>
      <c r="B80" s="223"/>
      <c r="C80" s="139"/>
      <c r="D80" s="141"/>
      <c r="E80" s="141"/>
      <c r="F80" s="141"/>
      <c r="G80" s="224"/>
      <c r="H80" s="3"/>
      <c r="I80" s="3"/>
    </row>
    <row r="81" spans="1:7">
      <c r="A81" s="41"/>
      <c r="B81" s="41"/>
      <c r="C81" s="41"/>
      <c r="D81" s="41"/>
      <c r="E81" s="41"/>
      <c r="F81" s="41"/>
      <c r="G81" s="301"/>
    </row>
    <row r="82" spans="1:7">
      <c r="A82" s="41"/>
      <c r="B82" s="41"/>
      <c r="C82" s="41"/>
      <c r="D82" s="41"/>
      <c r="E82" s="41"/>
      <c r="F82" s="41"/>
      <c r="G82" s="301"/>
    </row>
    <row r="83" spans="1:7">
      <c r="A83" s="41"/>
      <c r="B83" s="41"/>
      <c r="C83" s="41"/>
      <c r="D83" s="41"/>
      <c r="E83" s="41"/>
      <c r="F83" s="41"/>
      <c r="G83" s="301"/>
    </row>
    <row r="84" spans="1:7">
      <c r="A84" s="41"/>
      <c r="B84" s="41"/>
      <c r="C84" s="225" t="s">
        <v>337</v>
      </c>
      <c r="D84" s="216"/>
      <c r="E84" s="216"/>
      <c r="F84" s="41"/>
      <c r="G84" s="301"/>
    </row>
    <row r="85" spans="1:7">
      <c r="A85" s="41"/>
      <c r="B85" s="41"/>
      <c r="C85" s="41" t="s">
        <v>338</v>
      </c>
      <c r="D85" s="216">
        <f>+F44</f>
        <v>91416000</v>
      </c>
      <c r="E85" s="216"/>
      <c r="F85" s="216"/>
      <c r="G85" s="301"/>
    </row>
    <row r="86" spans="1:7">
      <c r="A86" s="41"/>
      <c r="B86" s="41"/>
      <c r="C86" s="41" t="s">
        <v>339</v>
      </c>
      <c r="D86" s="216">
        <v>50330000</v>
      </c>
      <c r="E86" s="216"/>
      <c r="F86" s="216"/>
      <c r="G86" s="301"/>
    </row>
    <row r="87" spans="1:7">
      <c r="A87" s="41"/>
      <c r="B87" s="41"/>
      <c r="C87" s="41" t="s">
        <v>340</v>
      </c>
      <c r="D87" s="226">
        <f>+D85-D86</f>
        <v>41086000</v>
      </c>
      <c r="E87" s="227">
        <f>+D87/D86</f>
        <v>0.81633220743095569</v>
      </c>
      <c r="F87" s="41"/>
      <c r="G87" s="301"/>
    </row>
    <row r="88" spans="1:7">
      <c r="A88" s="41"/>
      <c r="B88" s="41"/>
      <c r="C88" s="228" t="s">
        <v>341</v>
      </c>
      <c r="D88" s="216"/>
      <c r="E88" s="227"/>
      <c r="F88" s="41"/>
      <c r="G88" s="301"/>
    </row>
  </sheetData>
  <sheetProtection algorithmName="SHA-512" hashValue="2ll0PHsKxqDpaIorCIg3vmEopSmDjHXuVhDTalL8xdrf5PwPi0attHB5UhWBRuDWdDoIC4kJrnhcteo3T2+8mw==" saltValue="KCNpLC2rEwIBnq3Qm5Lxdg==" spinCount="100000" sheet="1" objects="1" scenarios="1"/>
  <mergeCells count="1">
    <mergeCell ref="B19:C19"/>
  </mergeCells>
  <phoneticPr fontId="0" type="noConversion"/>
  <printOptions horizontalCentered="1"/>
  <pageMargins left="0.78740157480314965" right="0.78740157480314965" top="0.98425196850393704" bottom="0.98425196850393704" header="0" footer="0"/>
  <pageSetup scale="87" orientation="portrait" horizontalDpi="4294967292" r:id="rId1"/>
  <headerFooter alignWithMargins="0"/>
  <ignoredErrors>
    <ignoredError sqref="B1:B4 D85 E60:G60 D61:G61 D64:G74 D62 D87:E87 D55:G59 D54 F54:G54 E12 F12:G14 D8:G10 E11:G11 D11:D12 D13:E14 D38:D40 E38:G38 G76:G79 F77 D27:G27 D28:F29 G28 D30:E30 G30 D42:G45 D36:G36 D31:G34 D15:G21 D25:D26 D23:G24 D22 E22:G22 D47:G53 D46 E46:G4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d92bed-0770-4ede-ae72-defa07df153c" xsi:nil="true"/>
    <lcf76f155ced4ddcb4097134ff3c332f xmlns="42e1c4e7-482f-406d-b816-1a7972df82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558FB893AB9D4191B6C06D353D71B0" ma:contentTypeVersion="15" ma:contentTypeDescription="Crear nuevo documento." ma:contentTypeScope="" ma:versionID="8a6bea4aa5928b8a1d7ee7f86cfda1a8">
  <xsd:schema xmlns:xsd="http://www.w3.org/2001/XMLSchema" xmlns:xs="http://www.w3.org/2001/XMLSchema" xmlns:p="http://schemas.microsoft.com/office/2006/metadata/properties" xmlns:ns2="b3d92bed-0770-4ede-ae72-defa07df153c" xmlns:ns3="42e1c4e7-482f-406d-b816-1a7972df82b2" targetNamespace="http://schemas.microsoft.com/office/2006/metadata/properties" ma:root="true" ma:fieldsID="39b1a012b2083fed5419de5e11070796" ns2:_="" ns3:_="">
    <xsd:import namespace="b3d92bed-0770-4ede-ae72-defa07df153c"/>
    <xsd:import namespace="42e1c4e7-482f-406d-b816-1a7972df82b2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92bed-0770-4ede-ae72-defa07df153c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15" nillable="true" ma:displayName="Taxonomy Catch All Column" ma:hidden="true" ma:list="{60048ed5-fd60-4dc6-9132-e8690053497a}" ma:internalName="TaxCatchAll" ma:showField="CatchAllData" ma:web="b3d92bed-0770-4ede-ae72-defa07df1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1c4e7-482f-406d-b816-1a7972df8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84dd2c1-0804-426c-9522-9455f2808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E3749B-7284-45F0-BF6D-DDF1FBCC2BF5}"/>
</file>

<file path=customXml/itemProps2.xml><?xml version="1.0" encoding="utf-8"?>
<ds:datastoreItem xmlns:ds="http://schemas.openxmlformats.org/officeDocument/2006/customXml" ds:itemID="{ED6765CE-03DB-4A4B-828A-7AA8FB26AB1E}"/>
</file>

<file path=customXml/itemProps3.xml><?xml version="1.0" encoding="utf-8"?>
<ds:datastoreItem xmlns:ds="http://schemas.openxmlformats.org/officeDocument/2006/customXml" ds:itemID="{A0FE6FF9-164A-4C98-9240-2B054ACFD6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USUARIO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paola.guerrero@auren.com.co</cp:lastModifiedBy>
  <cp:revision/>
  <dcterms:created xsi:type="dcterms:W3CDTF">2006-03-27T04:38:17Z</dcterms:created>
  <dcterms:modified xsi:type="dcterms:W3CDTF">2025-07-09T00:32:08Z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0x01010002558FB893AB9D4191B6C06D353D71B0</vt:lpwstr>
  </property>
  <property fmtid="{D5CDD505-2E9C-101B-9397-08002B2CF9AE}" pid="3" name="MediaServiceImageTags">
    <vt:lpwstr/>
  </property>
</Properties>
</file>